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updateLinks="never" codeName="DieseArbeitsmappe" defaultThemeVersion="166925"/>
  <mc:AlternateContent xmlns:mc="http://schemas.openxmlformats.org/markup-compatibility/2006">
    <mc:Choice Requires="x15">
      <x15ac:absPath xmlns:x15ac="http://schemas.microsoft.com/office/spreadsheetml/2010/11/ac" url="https://d.docs.live.net/06f053371779534f/Flora Cup/2026/"/>
    </mc:Choice>
  </mc:AlternateContent>
  <xr:revisionPtr revIDLastSave="202" documentId="8_{DB15D47B-DD56-49C4-9B03-676020579A15}" xr6:coauthVersionLast="47" xr6:coauthVersionMax="47" xr10:uidLastSave="{33CFD423-6FE6-4F86-9E67-6F2A9BF6BC94}"/>
  <bookViews>
    <workbookView xWindow="-108" yWindow="-108" windowWidth="23256" windowHeight="12456" xr2:uid="{926D5E4B-9E09-413A-96C4-2FB90E6A0FEC}"/>
  </bookViews>
  <sheets>
    <sheet name="Info" sheetId="3" r:id="rId1"/>
    <sheet name="Vereine - Clubs" sheetId="2" r:id="rId2"/>
    <sheet name="Teilnehmende - Starters" sheetId="1" r:id="rId3"/>
    <sheet name="Drum herum - around" sheetId="5" r:id="rId4"/>
    <sheet name="Intern Neu" sheetId="4" state="hidden" r:id="rId5"/>
  </sheets>
  <definedNames>
    <definedName name="_xlnm.Print_Area" localSheetId="0">Info!$D$16</definedName>
    <definedName name="DSGV">#REF!</definedName>
    <definedName name="Englisch">Info!$B$4</definedName>
    <definedName name="HTML1_1" hidden="1">"'[MELDFORM.XLS]Meldeform Flora Cup 97'!$A$3:$V$41"</definedName>
    <definedName name="HTML1_10" hidden="1">""</definedName>
    <definedName name="HTML1_11" hidden="1">1</definedName>
    <definedName name="HTML1_12" hidden="1">"C:\Eigene Dateien\www neu\FloraCup\Meldform.htm"</definedName>
    <definedName name="HTML1_2" hidden="1">1</definedName>
    <definedName name="HTML1_3" hidden="1">"MELDFORM"</definedName>
    <definedName name="HTML1_4" hidden="1">"Meldeform Flora Cup 97"</definedName>
    <definedName name="HTML1_5" hidden="1">""</definedName>
    <definedName name="HTML1_6" hidden="1">-4146</definedName>
    <definedName name="HTML1_7" hidden="1">1</definedName>
    <definedName name="HTML1_8" hidden="1">"25.12.96"</definedName>
    <definedName name="HTML1_9" hidden="1">"Jesper"</definedName>
    <definedName name="HTMLCount" hidden="1">1</definedName>
    <definedName name="Vereine">'Vereine - Clubs'!$E$28:$H$47</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6" i="5" l="1"/>
  <c r="G33" i="5"/>
  <c r="K156" i="1"/>
  <c r="K155" i="1"/>
  <c r="K154" i="1"/>
  <c r="K153" i="1"/>
  <c r="K152" i="1"/>
  <c r="K151" i="1"/>
  <c r="K150" i="1"/>
  <c r="K149" i="1"/>
  <c r="K148" i="1"/>
  <c r="K147" i="1"/>
  <c r="K146" i="1"/>
  <c r="K145" i="1"/>
  <c r="K144" i="1"/>
  <c r="K143" i="1"/>
  <c r="K142" i="1"/>
  <c r="K141" i="1"/>
  <c r="K140" i="1"/>
  <c r="K139" i="1"/>
  <c r="K138" i="1"/>
  <c r="K137" i="1"/>
  <c r="K136" i="1"/>
  <c r="K135" i="1"/>
  <c r="K134" i="1"/>
  <c r="K133" i="1"/>
  <c r="K132" i="1"/>
  <c r="K131" i="1"/>
  <c r="K130" i="1"/>
  <c r="K129" i="1"/>
  <c r="K128" i="1"/>
  <c r="K127" i="1"/>
  <c r="K126" i="1"/>
  <c r="K125" i="1"/>
  <c r="K124" i="1"/>
  <c r="K123" i="1"/>
  <c r="K122" i="1"/>
  <c r="K121" i="1"/>
  <c r="K120" i="1"/>
  <c r="K119" i="1"/>
  <c r="K118" i="1"/>
  <c r="K117" i="1"/>
  <c r="K116" i="1"/>
  <c r="K115" i="1"/>
  <c r="K114" i="1"/>
  <c r="K113" i="1"/>
  <c r="K112" i="1"/>
  <c r="K111" i="1"/>
  <c r="K110" i="1"/>
  <c r="K109" i="1"/>
  <c r="K108" i="1"/>
  <c r="K107" i="1"/>
  <c r="K106" i="1"/>
  <c r="K105" i="1"/>
  <c r="K104" i="1"/>
  <c r="K103" i="1"/>
  <c r="K102" i="1"/>
  <c r="K101" i="1"/>
  <c r="K100" i="1"/>
  <c r="K99" i="1"/>
  <c r="K98" i="1"/>
  <c r="K97" i="1"/>
  <c r="K96" i="1"/>
  <c r="K95" i="1"/>
  <c r="K94" i="1"/>
  <c r="K93" i="1"/>
  <c r="K92" i="1"/>
  <c r="K91" i="1"/>
  <c r="K90" i="1"/>
  <c r="K89" i="1"/>
  <c r="K88" i="1"/>
  <c r="K87" i="1"/>
  <c r="K86" i="1"/>
  <c r="K85" i="1"/>
  <c r="K84" i="1"/>
  <c r="K83" i="1"/>
  <c r="K82" i="1"/>
  <c r="K81" i="1"/>
  <c r="K44" i="5"/>
  <c r="O3" i="1"/>
  <c r="B2" i="3"/>
  <c r="M81" i="1"/>
  <c r="O156" i="1" l="1"/>
  <c r="O155" i="1"/>
  <c r="O154" i="1"/>
  <c r="O153" i="1"/>
  <c r="O152" i="1"/>
  <c r="O151" i="1"/>
  <c r="O150" i="1"/>
  <c r="O149" i="1"/>
  <c r="O148" i="1"/>
  <c r="O147" i="1"/>
  <c r="O146" i="1"/>
  <c r="O145" i="1"/>
  <c r="O144" i="1"/>
  <c r="O143" i="1"/>
  <c r="O142" i="1"/>
  <c r="O141" i="1"/>
  <c r="O140" i="1"/>
  <c r="O139" i="1"/>
  <c r="O138" i="1"/>
  <c r="O137" i="1"/>
  <c r="O136" i="1"/>
  <c r="O135" i="1"/>
  <c r="O134" i="1"/>
  <c r="O133" i="1"/>
  <c r="O132" i="1"/>
  <c r="O131" i="1"/>
  <c r="O130" i="1"/>
  <c r="O129" i="1"/>
  <c r="O128" i="1"/>
  <c r="O127" i="1"/>
  <c r="O126" i="1"/>
  <c r="O125" i="1"/>
  <c r="O124" i="1"/>
  <c r="O123" i="1"/>
  <c r="O122" i="1"/>
  <c r="O121" i="1"/>
  <c r="O120" i="1"/>
  <c r="O119" i="1"/>
  <c r="O118" i="1"/>
  <c r="O117" i="1"/>
  <c r="O116" i="1"/>
  <c r="O115" i="1"/>
  <c r="O114" i="1"/>
  <c r="O113" i="1"/>
  <c r="O112" i="1"/>
  <c r="O111" i="1"/>
  <c r="O110" i="1"/>
  <c r="O109" i="1"/>
  <c r="O108" i="1"/>
  <c r="O107" i="1"/>
  <c r="O106" i="1"/>
  <c r="O105" i="1"/>
  <c r="O104" i="1"/>
  <c r="O103" i="1"/>
  <c r="O102" i="1"/>
  <c r="O101" i="1"/>
  <c r="O100" i="1"/>
  <c r="O99" i="1"/>
  <c r="O98" i="1"/>
  <c r="O97" i="1"/>
  <c r="O96" i="1"/>
  <c r="O95" i="1"/>
  <c r="O94" i="1"/>
  <c r="O93" i="1"/>
  <c r="O92" i="1"/>
  <c r="O91" i="1"/>
  <c r="O90" i="1"/>
  <c r="O89" i="1"/>
  <c r="O88" i="1"/>
  <c r="O87" i="1"/>
  <c r="O86" i="1"/>
  <c r="O85" i="1"/>
  <c r="O84" i="1"/>
  <c r="O83" i="1"/>
  <c r="O82" i="1"/>
  <c r="O81" i="1"/>
  <c r="F50" i="5" l="1"/>
  <c r="T82" i="1"/>
  <c r="Y81" i="1"/>
  <c r="V81" i="1"/>
  <c r="V82" i="1" l="1"/>
  <c r="I12" i="5"/>
  <c r="N3" i="1"/>
  <c r="K7" i="5"/>
  <c r="K6" i="5"/>
  <c r="H3" i="2"/>
  <c r="G1" i="1"/>
  <c r="C4" i="3" l="1"/>
  <c r="S156" i="1"/>
  <c r="S155" i="1"/>
  <c r="S154" i="1"/>
  <c r="S153" i="1"/>
  <c r="S152" i="1"/>
  <c r="S151" i="1"/>
  <c r="S150" i="1"/>
  <c r="S149" i="1"/>
  <c r="S148" i="1"/>
  <c r="S147" i="1"/>
  <c r="S146" i="1"/>
  <c r="S145" i="1"/>
  <c r="S144" i="1"/>
  <c r="S143" i="1"/>
  <c r="S142" i="1"/>
  <c r="S141" i="1"/>
  <c r="S140" i="1"/>
  <c r="S139" i="1"/>
  <c r="S138" i="1"/>
  <c r="S137" i="1"/>
  <c r="S136" i="1"/>
  <c r="S135" i="1"/>
  <c r="S134" i="1"/>
  <c r="S133" i="1"/>
  <c r="S132" i="1"/>
  <c r="S131" i="1"/>
  <c r="S130" i="1"/>
  <c r="S129" i="1"/>
  <c r="S128" i="1"/>
  <c r="S127" i="1"/>
  <c r="S126" i="1"/>
  <c r="S125" i="1"/>
  <c r="S124" i="1"/>
  <c r="S123" i="1"/>
  <c r="S122" i="1"/>
  <c r="S121" i="1"/>
  <c r="S120" i="1"/>
  <c r="S119" i="1"/>
  <c r="S118" i="1"/>
  <c r="S117" i="1"/>
  <c r="S116" i="1"/>
  <c r="S115" i="1"/>
  <c r="S114" i="1"/>
  <c r="S113" i="1"/>
  <c r="S112" i="1"/>
  <c r="S111" i="1"/>
  <c r="S110" i="1"/>
  <c r="S109" i="1"/>
  <c r="S108" i="1"/>
  <c r="S107" i="1"/>
  <c r="S106" i="1"/>
  <c r="S105" i="1"/>
  <c r="S104" i="1"/>
  <c r="S103" i="1"/>
  <c r="S102" i="1"/>
  <c r="S101" i="1"/>
  <c r="S100" i="1"/>
  <c r="S99" i="1"/>
  <c r="S98" i="1"/>
  <c r="S97" i="1"/>
  <c r="S96" i="1"/>
  <c r="S95" i="1"/>
  <c r="S94" i="1"/>
  <c r="S93" i="1"/>
  <c r="S92" i="1"/>
  <c r="S91" i="1"/>
  <c r="S90" i="1"/>
  <c r="S89" i="1"/>
  <c r="S88" i="1"/>
  <c r="S87" i="1"/>
  <c r="S86" i="1"/>
  <c r="S85" i="1"/>
  <c r="S84" i="1"/>
  <c r="S83" i="1"/>
  <c r="H39" i="5"/>
  <c r="F37" i="5"/>
  <c r="B12" i="3"/>
  <c r="C10" i="3"/>
  <c r="K9" i="5"/>
  <c r="K8" i="5"/>
  <c r="AH10" i="4"/>
  <c r="AH9" i="4"/>
  <c r="AH8" i="4"/>
  <c r="AH7" i="4"/>
  <c r="AH6" i="4"/>
  <c r="AH5" i="4"/>
  <c r="AH4" i="4"/>
  <c r="AH3" i="4"/>
  <c r="E29" i="5" l="1"/>
  <c r="N2" i="4" l="1"/>
  <c r="O2" i="4"/>
  <c r="M2" i="4"/>
  <c r="L2" i="4"/>
  <c r="Q4" i="1"/>
  <c r="O4" i="1"/>
  <c r="H30" i="2" l="1"/>
  <c r="H28" i="2"/>
  <c r="M83" i="1"/>
  <c r="M82" i="1"/>
  <c r="S82" i="1" s="1"/>
  <c r="E51" i="5"/>
  <c r="F36" i="5"/>
  <c r="F33" i="5"/>
  <c r="I3" i="1"/>
  <c r="C8" i="3"/>
  <c r="Z81" i="1" l="1"/>
  <c r="S81" i="1"/>
  <c r="K34" i="5"/>
  <c r="L33" i="2"/>
  <c r="J34" i="2"/>
  <c r="J33" i="2"/>
  <c r="J32" i="2"/>
  <c r="J31" i="2"/>
  <c r="J30" i="2"/>
  <c r="J29" i="2"/>
  <c r="J28" i="2"/>
  <c r="J1" i="2"/>
  <c r="E5" i="5" l="1"/>
  <c r="C9" i="3" l="1"/>
  <c r="F9" i="5" l="1"/>
  <c r="F8" i="5"/>
  <c r="F7" i="5"/>
  <c r="F6" i="5"/>
  <c r="E17" i="5"/>
  <c r="E39" i="5" l="1"/>
  <c r="B14" i="3"/>
  <c r="B6" i="3" l="1"/>
  <c r="C7" i="3" l="1"/>
  <c r="E31" i="5" l="1"/>
  <c r="Y2" i="4" l="1"/>
  <c r="X2" i="4"/>
  <c r="W2" i="4"/>
  <c r="V2" i="4"/>
  <c r="U2" i="4"/>
  <c r="T2" i="4"/>
  <c r="S2" i="4"/>
  <c r="R2" i="4"/>
  <c r="AG10" i="4" l="1"/>
  <c r="AG9" i="4"/>
  <c r="AG8" i="4"/>
  <c r="AG7" i="4"/>
  <c r="AG6" i="4"/>
  <c r="AG5" i="4"/>
  <c r="AG4" i="4"/>
  <c r="AG3" i="4"/>
  <c r="AG2" i="4"/>
  <c r="E49" i="2" l="1"/>
  <c r="E48" i="5" l="1"/>
  <c r="E42" i="5"/>
  <c r="K36" i="5"/>
  <c r="J3" i="1"/>
  <c r="G3" i="2"/>
  <c r="F3" i="2"/>
  <c r="E1" i="2"/>
  <c r="B17" i="3"/>
  <c r="M102" i="1" l="1"/>
  <c r="M101" i="1"/>
  <c r="M100" i="1"/>
  <c r="M99" i="1"/>
  <c r="M98" i="1"/>
  <c r="M97" i="1"/>
  <c r="M96" i="1"/>
  <c r="M95" i="1"/>
  <c r="M94" i="1"/>
  <c r="M93" i="1"/>
  <c r="M92" i="1"/>
  <c r="M91" i="1"/>
  <c r="M90" i="1"/>
  <c r="M89" i="1"/>
  <c r="M88" i="1"/>
  <c r="M87" i="1"/>
  <c r="M86" i="1"/>
  <c r="M85" i="1"/>
  <c r="M84" i="1"/>
  <c r="H31" i="2"/>
  <c r="D47" i="2"/>
  <c r="D46" i="2"/>
  <c r="D45" i="2"/>
  <c r="D44" i="2"/>
  <c r="D43" i="2"/>
  <c r="D42" i="2"/>
  <c r="D41" i="2"/>
  <c r="D40" i="2"/>
  <c r="D39" i="2"/>
  <c r="D38" i="2"/>
  <c r="D37" i="2"/>
  <c r="D36" i="2"/>
  <c r="D35" i="2"/>
  <c r="D34" i="2"/>
  <c r="D33" i="2"/>
  <c r="D32" i="2"/>
  <c r="D31" i="2"/>
  <c r="C31" i="2" s="1"/>
  <c r="D30" i="2"/>
  <c r="AC2" i="4"/>
  <c r="AF2" i="4"/>
  <c r="AE2" i="4"/>
  <c r="AD2" i="4"/>
  <c r="AB2" i="4"/>
  <c r="AA2" i="4"/>
  <c r="Z2" i="4"/>
  <c r="P2" i="4"/>
  <c r="Q2" i="4"/>
  <c r="K2" i="4"/>
  <c r="J2" i="4"/>
  <c r="I2" i="4"/>
  <c r="H2" i="4"/>
  <c r="G2" i="4"/>
  <c r="F2" i="4"/>
  <c r="E2" i="4"/>
  <c r="D2" i="4"/>
  <c r="C10" i="4"/>
  <c r="C9" i="4"/>
  <c r="C8" i="4"/>
  <c r="C7" i="4"/>
  <c r="C6" i="4"/>
  <c r="C5" i="4"/>
  <c r="C4" i="4"/>
  <c r="C3" i="4"/>
  <c r="C2" i="4"/>
  <c r="B10" i="4"/>
  <c r="B9" i="4"/>
  <c r="B8" i="4"/>
  <c r="B7" i="4"/>
  <c r="B6" i="4"/>
  <c r="B5" i="4"/>
  <c r="B4" i="4"/>
  <c r="B3" i="4"/>
  <c r="B2" i="4"/>
  <c r="C30" i="2" l="1"/>
  <c r="F56" i="5" l="1"/>
  <c r="E54" i="5"/>
  <c r="F51" i="5"/>
  <c r="E27" i="5"/>
  <c r="E24" i="5"/>
  <c r="E23" i="5"/>
  <c r="E21" i="5"/>
  <c r="H11" i="5"/>
  <c r="E11" i="5"/>
  <c r="K3" i="5"/>
  <c r="E1" i="5"/>
  <c r="E3" i="5"/>
  <c r="K24" i="5"/>
  <c r="F46" i="5"/>
  <c r="F45" i="5"/>
  <c r="F44" i="5"/>
  <c r="F5" i="1" l="1"/>
  <c r="D102" i="1"/>
  <c r="AE26" i="1" s="1"/>
  <c r="D28" i="2"/>
  <c r="M103" i="1"/>
  <c r="H47" i="2"/>
  <c r="C47" i="2" s="1"/>
  <c r="H46" i="2"/>
  <c r="C46" i="2" s="1"/>
  <c r="H45" i="2"/>
  <c r="C45" i="2" s="1"/>
  <c r="H44" i="2"/>
  <c r="C44" i="2" s="1"/>
  <c r="H43" i="2"/>
  <c r="C43" i="2" s="1"/>
  <c r="H42" i="2"/>
  <c r="C42" i="2" s="1"/>
  <c r="H41" i="2"/>
  <c r="C41" i="2" s="1"/>
  <c r="H40" i="2"/>
  <c r="C40" i="2" s="1"/>
  <c r="H39" i="2"/>
  <c r="C39" i="2" s="1"/>
  <c r="H38" i="2"/>
  <c r="C38" i="2" s="1"/>
  <c r="H37" i="2"/>
  <c r="C37" i="2" s="1"/>
  <c r="H36" i="2"/>
  <c r="C36" i="2" s="1"/>
  <c r="A10" i="4" s="1"/>
  <c r="H35" i="2"/>
  <c r="C35" i="2" s="1"/>
  <c r="A9" i="4" s="1"/>
  <c r="H34" i="2"/>
  <c r="C34" i="2" s="1"/>
  <c r="A8" i="4" s="1"/>
  <c r="H33" i="2"/>
  <c r="C33" i="2" s="1"/>
  <c r="A7" i="4" s="1"/>
  <c r="H32" i="2"/>
  <c r="C32" i="2" s="1"/>
  <c r="A6" i="4" s="1"/>
  <c r="S3" i="1"/>
  <c r="M79" i="1"/>
  <c r="M78" i="1"/>
  <c r="M77" i="1"/>
  <c r="M76" i="1"/>
  <c r="M75" i="1"/>
  <c r="M74" i="1"/>
  <c r="M73" i="1"/>
  <c r="M72" i="1"/>
  <c r="M71" i="1"/>
  <c r="M70" i="1"/>
  <c r="M69" i="1"/>
  <c r="M68" i="1"/>
  <c r="M67" i="1"/>
  <c r="M66" i="1"/>
  <c r="M65" i="1"/>
  <c r="M64" i="1"/>
  <c r="M63" i="1"/>
  <c r="M62" i="1"/>
  <c r="M61" i="1"/>
  <c r="M80" i="1"/>
  <c r="B81" i="1"/>
  <c r="B82" i="1" s="1"/>
  <c r="B102" i="1"/>
  <c r="C102" i="1" s="1"/>
  <c r="B103" i="1"/>
  <c r="C103" i="1" s="1"/>
  <c r="B104" i="1"/>
  <c r="C104" i="1" s="1"/>
  <c r="B105" i="1"/>
  <c r="C105" i="1" s="1"/>
  <c r="B106" i="1"/>
  <c r="C106" i="1" s="1"/>
  <c r="B107" i="1"/>
  <c r="C107" i="1" s="1"/>
  <c r="B108" i="1"/>
  <c r="C108" i="1" s="1"/>
  <c r="B109" i="1"/>
  <c r="C109" i="1" s="1"/>
  <c r="B110" i="1"/>
  <c r="C110" i="1" s="1"/>
  <c r="B111" i="1"/>
  <c r="C111" i="1" s="1"/>
  <c r="B112" i="1"/>
  <c r="C112" i="1" s="1"/>
  <c r="B113" i="1"/>
  <c r="C113" i="1" s="1"/>
  <c r="B114" i="1"/>
  <c r="C114" i="1" s="1"/>
  <c r="B115" i="1"/>
  <c r="C115" i="1" s="1"/>
  <c r="B116" i="1"/>
  <c r="C116" i="1" s="1"/>
  <c r="B117" i="1"/>
  <c r="C117" i="1" s="1"/>
  <c r="B118" i="1"/>
  <c r="C118" i="1" s="1"/>
  <c r="B119" i="1"/>
  <c r="C119" i="1" s="1"/>
  <c r="B120" i="1"/>
  <c r="C120" i="1" s="1"/>
  <c r="B121" i="1"/>
  <c r="C121" i="1" s="1"/>
  <c r="B122" i="1"/>
  <c r="C122" i="1" s="1"/>
  <c r="B123" i="1"/>
  <c r="C123" i="1" s="1"/>
  <c r="B124" i="1"/>
  <c r="C124" i="1" s="1"/>
  <c r="B125" i="1"/>
  <c r="C125" i="1" s="1"/>
  <c r="B126" i="1"/>
  <c r="C126" i="1" s="1"/>
  <c r="B127" i="1"/>
  <c r="C127" i="1" s="1"/>
  <c r="B128" i="1"/>
  <c r="C128" i="1" s="1"/>
  <c r="B129" i="1"/>
  <c r="C129" i="1" s="1"/>
  <c r="B130" i="1"/>
  <c r="C130" i="1" s="1"/>
  <c r="B131" i="1"/>
  <c r="C131" i="1" s="1"/>
  <c r="B132" i="1"/>
  <c r="C132" i="1" s="1"/>
  <c r="B133" i="1"/>
  <c r="C133" i="1" s="1"/>
  <c r="B134" i="1"/>
  <c r="C134" i="1" s="1"/>
  <c r="B135" i="1"/>
  <c r="C135" i="1" s="1"/>
  <c r="B136" i="1"/>
  <c r="C136" i="1" s="1"/>
  <c r="B137" i="1"/>
  <c r="C137" i="1" s="1"/>
  <c r="B138" i="1"/>
  <c r="C138" i="1" s="1"/>
  <c r="B139" i="1"/>
  <c r="C139" i="1" s="1"/>
  <c r="B140" i="1"/>
  <c r="C140" i="1" s="1"/>
  <c r="B141" i="1"/>
  <c r="C141" i="1" s="1"/>
  <c r="B142" i="1"/>
  <c r="C142" i="1" s="1"/>
  <c r="B143" i="1"/>
  <c r="C143" i="1" s="1"/>
  <c r="B144" i="1"/>
  <c r="C144" i="1" s="1"/>
  <c r="B145" i="1"/>
  <c r="C145" i="1" s="1"/>
  <c r="B146" i="1"/>
  <c r="C146" i="1" s="1"/>
  <c r="B147" i="1"/>
  <c r="C147" i="1" s="1"/>
  <c r="B148" i="1"/>
  <c r="C148" i="1" s="1"/>
  <c r="B149" i="1"/>
  <c r="C149" i="1" s="1"/>
  <c r="B150" i="1"/>
  <c r="C150" i="1" s="1"/>
  <c r="B151" i="1"/>
  <c r="C151" i="1" s="1"/>
  <c r="B152" i="1"/>
  <c r="C152" i="1" s="1"/>
  <c r="B153" i="1"/>
  <c r="C153" i="1" s="1"/>
  <c r="B154" i="1"/>
  <c r="C154" i="1" s="1"/>
  <c r="B155" i="1"/>
  <c r="C155" i="1" s="1"/>
  <c r="B156" i="1"/>
  <c r="C156" i="1" s="1"/>
  <c r="M156" i="1"/>
  <c r="M155" i="1"/>
  <c r="M154" i="1"/>
  <c r="M153" i="1"/>
  <c r="M152" i="1"/>
  <c r="M151" i="1"/>
  <c r="M150" i="1"/>
  <c r="M149" i="1"/>
  <c r="M148" i="1"/>
  <c r="M147" i="1"/>
  <c r="M146" i="1"/>
  <c r="M145" i="1"/>
  <c r="M144" i="1"/>
  <c r="M143" i="1"/>
  <c r="M142" i="1"/>
  <c r="M141" i="1"/>
  <c r="M140" i="1"/>
  <c r="M139" i="1"/>
  <c r="M138" i="1"/>
  <c r="M137" i="1"/>
  <c r="M136" i="1"/>
  <c r="M135" i="1"/>
  <c r="M134" i="1"/>
  <c r="M133" i="1"/>
  <c r="M132" i="1"/>
  <c r="M131" i="1"/>
  <c r="M130" i="1"/>
  <c r="M129" i="1"/>
  <c r="M128" i="1"/>
  <c r="M127" i="1"/>
  <c r="M126" i="1"/>
  <c r="M125" i="1"/>
  <c r="M124" i="1"/>
  <c r="M123" i="1"/>
  <c r="M122" i="1"/>
  <c r="M121" i="1"/>
  <c r="M120" i="1"/>
  <c r="M119" i="1"/>
  <c r="M118" i="1"/>
  <c r="M117" i="1"/>
  <c r="M116" i="1"/>
  <c r="M115" i="1"/>
  <c r="M114" i="1"/>
  <c r="M113" i="1"/>
  <c r="M112" i="1"/>
  <c r="M111" i="1"/>
  <c r="M110" i="1"/>
  <c r="M109" i="1"/>
  <c r="M108" i="1"/>
  <c r="M107" i="1"/>
  <c r="M106" i="1"/>
  <c r="M105" i="1"/>
  <c r="M104" i="1"/>
  <c r="M4" i="1"/>
  <c r="Z3" i="1"/>
  <c r="W3" i="1"/>
  <c r="T3" i="1"/>
  <c r="R4" i="1"/>
  <c r="P4" i="1"/>
  <c r="L3" i="1"/>
  <c r="H3" i="1"/>
  <c r="G3" i="1"/>
  <c r="A5" i="4"/>
  <c r="K80" i="1"/>
  <c r="K79" i="1"/>
  <c r="K78" i="1"/>
  <c r="K77" i="1"/>
  <c r="K76" i="1"/>
  <c r="K75" i="1"/>
  <c r="K74" i="1"/>
  <c r="K73" i="1"/>
  <c r="K72" i="1"/>
  <c r="K71" i="1"/>
  <c r="K70" i="1"/>
  <c r="K69" i="1"/>
  <c r="K68" i="1"/>
  <c r="K67" i="1"/>
  <c r="K66" i="1"/>
  <c r="K65" i="1"/>
  <c r="K64" i="1"/>
  <c r="K63" i="1"/>
  <c r="K62" i="1"/>
  <c r="K61" i="1"/>
  <c r="K60" i="1"/>
  <c r="K59" i="1"/>
  <c r="K58"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K10" i="1"/>
  <c r="K9" i="1"/>
  <c r="K8" i="1"/>
  <c r="K7" i="1"/>
  <c r="K6" i="1"/>
  <c r="K5" i="1"/>
  <c r="AK9" i="4" l="1"/>
  <c r="AJ4" i="4"/>
  <c r="AK6" i="4"/>
  <c r="AK8" i="4"/>
  <c r="AJ3" i="4"/>
  <c r="AK7" i="4"/>
  <c r="AJ2" i="4"/>
  <c r="AK10" i="4"/>
  <c r="AO8" i="4"/>
  <c r="AO4" i="4"/>
  <c r="AO5" i="4"/>
  <c r="AO7" i="4"/>
  <c r="AO3" i="4"/>
  <c r="AO6" i="4"/>
  <c r="AO2" i="4"/>
  <c r="AO9" i="4"/>
  <c r="AM9" i="4"/>
  <c r="AL4" i="4"/>
  <c r="AL5" i="4"/>
  <c r="AM8" i="4"/>
  <c r="AL3" i="4"/>
  <c r="AL6" i="4"/>
  <c r="AL2" i="4"/>
  <c r="AM10" i="4"/>
  <c r="AL9" i="4"/>
  <c r="AK4" i="4"/>
  <c r="AK5" i="4"/>
  <c r="AL8" i="4"/>
  <c r="AK3" i="4"/>
  <c r="AL7" i="4"/>
  <c r="AK2" i="4"/>
  <c r="AL10" i="4"/>
  <c r="AN9" i="4"/>
  <c r="AM4" i="4"/>
  <c r="AM5" i="4"/>
  <c r="AM7" i="4"/>
  <c r="AM3" i="4"/>
  <c r="AM6" i="4"/>
  <c r="AM2" i="4"/>
  <c r="AN10" i="4"/>
  <c r="AN8" i="4"/>
  <c r="AN4" i="4"/>
  <c r="AN7" i="4"/>
  <c r="AN3" i="4"/>
  <c r="AO10" i="4"/>
  <c r="AN6" i="4"/>
  <c r="AN2" i="4"/>
  <c r="AN5" i="4"/>
  <c r="D146" i="1"/>
  <c r="AE70" i="1" s="1"/>
  <c r="C28" i="2"/>
  <c r="D29" i="2"/>
  <c r="C29" i="2" s="1"/>
  <c r="A3" i="4" s="1"/>
  <c r="D107" i="1"/>
  <c r="AE31" i="1" s="1"/>
  <c r="D135" i="1"/>
  <c r="AE59" i="1" s="1"/>
  <c r="D104" i="1"/>
  <c r="AE28" i="1" s="1"/>
  <c r="D108" i="1"/>
  <c r="AE32" i="1" s="1"/>
  <c r="D112" i="1"/>
  <c r="AE36" i="1" s="1"/>
  <c r="D116" i="1"/>
  <c r="AE40" i="1" s="1"/>
  <c r="D120" i="1"/>
  <c r="AE44" i="1" s="1"/>
  <c r="D124" i="1"/>
  <c r="AE48" i="1" s="1"/>
  <c r="D128" i="1"/>
  <c r="AE52" i="1" s="1"/>
  <c r="D132" i="1"/>
  <c r="AE56" i="1" s="1"/>
  <c r="D136" i="1"/>
  <c r="AE60" i="1" s="1"/>
  <c r="D140" i="1"/>
  <c r="AE64" i="1" s="1"/>
  <c r="D144" i="1"/>
  <c r="AE68" i="1" s="1"/>
  <c r="D148" i="1"/>
  <c r="AE72" i="1" s="1"/>
  <c r="D152" i="1"/>
  <c r="AE76" i="1" s="1"/>
  <c r="D156" i="1"/>
  <c r="AE80" i="1" s="1"/>
  <c r="D103" i="1"/>
  <c r="AE27" i="1" s="1"/>
  <c r="D115" i="1"/>
  <c r="AE39" i="1" s="1"/>
  <c r="D119" i="1"/>
  <c r="AE43" i="1" s="1"/>
  <c r="D123" i="1"/>
  <c r="AE47" i="1" s="1"/>
  <c r="D127" i="1"/>
  <c r="AE51" i="1" s="1"/>
  <c r="D131" i="1"/>
  <c r="AE55" i="1" s="1"/>
  <c r="D139" i="1"/>
  <c r="AE63" i="1" s="1"/>
  <c r="D143" i="1"/>
  <c r="AE67" i="1" s="1"/>
  <c r="D147" i="1"/>
  <c r="AE71" i="1" s="1"/>
  <c r="D151" i="1"/>
  <c r="AE75" i="1" s="1"/>
  <c r="D155" i="1"/>
  <c r="AE79" i="1" s="1"/>
  <c r="D105" i="1"/>
  <c r="AE29" i="1" s="1"/>
  <c r="D109" i="1"/>
  <c r="AE33" i="1" s="1"/>
  <c r="D113" i="1"/>
  <c r="AE37" i="1" s="1"/>
  <c r="D117" i="1"/>
  <c r="AE41" i="1" s="1"/>
  <c r="D121" i="1"/>
  <c r="AE45" i="1" s="1"/>
  <c r="D125" i="1"/>
  <c r="AE49" i="1" s="1"/>
  <c r="D129" i="1"/>
  <c r="AE53" i="1" s="1"/>
  <c r="D133" i="1"/>
  <c r="AE57" i="1" s="1"/>
  <c r="D137" i="1"/>
  <c r="AE61" i="1" s="1"/>
  <c r="D141" i="1"/>
  <c r="AE65" i="1" s="1"/>
  <c r="D145" i="1"/>
  <c r="AE69" i="1" s="1"/>
  <c r="D149" i="1"/>
  <c r="AE73" i="1" s="1"/>
  <c r="D153" i="1"/>
  <c r="AE77" i="1" s="1"/>
  <c r="D111" i="1"/>
  <c r="AE35" i="1" s="1"/>
  <c r="D106" i="1"/>
  <c r="AE30" i="1" s="1"/>
  <c r="D110" i="1"/>
  <c r="AE34" i="1" s="1"/>
  <c r="D114" i="1"/>
  <c r="AE38" i="1" s="1"/>
  <c r="D118" i="1"/>
  <c r="AE42" i="1" s="1"/>
  <c r="D122" i="1"/>
  <c r="AE46" i="1" s="1"/>
  <c r="D126" i="1"/>
  <c r="AE50" i="1" s="1"/>
  <c r="D130" i="1"/>
  <c r="AE54" i="1" s="1"/>
  <c r="D134" i="1"/>
  <c r="AE58" i="1" s="1"/>
  <c r="D138" i="1"/>
  <c r="AE62" i="1" s="1"/>
  <c r="D142" i="1"/>
  <c r="AE66" i="1" s="1"/>
  <c r="D150" i="1"/>
  <c r="AE74" i="1" s="1"/>
  <c r="D154" i="1"/>
  <c r="AE78" i="1" s="1"/>
  <c r="K8" i="4"/>
  <c r="D8" i="4"/>
  <c r="AB8" i="4"/>
  <c r="F8" i="4"/>
  <c r="I8" i="4"/>
  <c r="E8" i="4"/>
  <c r="H8" i="4"/>
  <c r="G8" i="4"/>
  <c r="J8" i="4"/>
  <c r="AB7" i="4"/>
  <c r="D7" i="4"/>
  <c r="F7" i="4"/>
  <c r="K7" i="4"/>
  <c r="I7" i="4"/>
  <c r="E7" i="4"/>
  <c r="G7" i="4"/>
  <c r="H7" i="4"/>
  <c r="J7" i="4"/>
  <c r="J3" i="4"/>
  <c r="F3" i="4"/>
  <c r="I3" i="4"/>
  <c r="E3" i="4"/>
  <c r="AB3" i="4"/>
  <c r="H3" i="4"/>
  <c r="D3" i="4"/>
  <c r="K3" i="4"/>
  <c r="G3" i="4"/>
  <c r="I5" i="4"/>
  <c r="E5" i="4"/>
  <c r="AB5" i="4"/>
  <c r="H5" i="4"/>
  <c r="D5" i="4"/>
  <c r="K5" i="4"/>
  <c r="G5" i="4"/>
  <c r="J5" i="4"/>
  <c r="F5" i="4"/>
  <c r="J9" i="4"/>
  <c r="F9" i="4"/>
  <c r="I9" i="4"/>
  <c r="E9" i="4"/>
  <c r="AB9" i="4"/>
  <c r="H9" i="4"/>
  <c r="D9" i="4"/>
  <c r="K9" i="4"/>
  <c r="G9" i="4"/>
  <c r="AB6" i="4"/>
  <c r="H6" i="4"/>
  <c r="D6" i="4"/>
  <c r="K6" i="4"/>
  <c r="G6" i="4"/>
  <c r="J6" i="4"/>
  <c r="F6" i="4"/>
  <c r="I6" i="4"/>
  <c r="E6" i="4"/>
  <c r="I10" i="4"/>
  <c r="E10" i="4"/>
  <c r="AB10" i="4"/>
  <c r="H10" i="4"/>
  <c r="D10" i="4"/>
  <c r="K10" i="4"/>
  <c r="G10" i="4"/>
  <c r="J10" i="4"/>
  <c r="F10" i="4"/>
  <c r="AD78" i="1"/>
  <c r="AD74" i="1"/>
  <c r="AD70" i="1"/>
  <c r="AD66" i="1"/>
  <c r="AD62" i="1"/>
  <c r="AD58" i="1"/>
  <c r="AD54" i="1"/>
  <c r="AD50" i="1"/>
  <c r="AD46" i="1"/>
  <c r="AD42" i="1"/>
  <c r="AD38" i="1"/>
  <c r="AD34" i="1"/>
  <c r="AD30" i="1"/>
  <c r="AD26" i="1"/>
  <c r="AD77" i="1"/>
  <c r="AD73" i="1"/>
  <c r="AD69" i="1"/>
  <c r="AD65" i="1"/>
  <c r="AD61" i="1"/>
  <c r="AD57" i="1"/>
  <c r="AD53" i="1"/>
  <c r="AD49" i="1"/>
  <c r="AD45" i="1"/>
  <c r="AD41" i="1"/>
  <c r="AD37" i="1"/>
  <c r="AD33" i="1"/>
  <c r="AD29" i="1"/>
  <c r="AD44" i="1"/>
  <c r="AD80" i="1"/>
  <c r="AD76" i="1"/>
  <c r="AD72" i="1"/>
  <c r="AD68" i="1"/>
  <c r="AD64" i="1"/>
  <c r="AD60" i="1"/>
  <c r="AD56" i="1"/>
  <c r="AD52" i="1"/>
  <c r="AD48" i="1"/>
  <c r="AD40" i="1"/>
  <c r="AD36" i="1"/>
  <c r="AD32" i="1"/>
  <c r="AD28" i="1"/>
  <c r="AD79" i="1"/>
  <c r="AD75" i="1"/>
  <c r="AD71" i="1"/>
  <c r="AD67" i="1"/>
  <c r="AD63" i="1"/>
  <c r="AD59" i="1"/>
  <c r="AD55" i="1"/>
  <c r="AD51" i="1"/>
  <c r="AD47" i="1"/>
  <c r="AD43" i="1"/>
  <c r="AD39" i="1"/>
  <c r="AD35" i="1"/>
  <c r="AD31" i="1"/>
  <c r="AD27" i="1"/>
  <c r="C82" i="1"/>
  <c r="C81" i="1"/>
  <c r="A4" i="4"/>
  <c r="B83" i="1"/>
  <c r="C83" i="1" s="1"/>
  <c r="AI9" i="4" l="1"/>
  <c r="AI5" i="4"/>
  <c r="AI10" i="4"/>
  <c r="AI6" i="4"/>
  <c r="AI8" i="4"/>
  <c r="AI4" i="4"/>
  <c r="AI7" i="4"/>
  <c r="AH2" i="4"/>
  <c r="AJ9" i="4"/>
  <c r="AJ5" i="4"/>
  <c r="AJ6" i="4"/>
  <c r="AJ8" i="4"/>
  <c r="AI3" i="4"/>
  <c r="AJ7" i="4"/>
  <c r="AI2" i="4"/>
  <c r="AJ10" i="4"/>
  <c r="F4" i="4"/>
  <c r="H4" i="4"/>
  <c r="I4" i="4"/>
  <c r="G4" i="4"/>
  <c r="E4" i="4"/>
  <c r="J4" i="4"/>
  <c r="AB4" i="4"/>
  <c r="K4" i="4"/>
  <c r="D4" i="4"/>
  <c r="D83" i="1"/>
  <c r="AE7" i="1" s="1"/>
  <c r="AD7" i="1"/>
  <c r="D82" i="1"/>
  <c r="AE6" i="1" s="1"/>
  <c r="AD6" i="1"/>
  <c r="AD5" i="1"/>
  <c r="D81" i="1"/>
  <c r="B84" i="1"/>
  <c r="C84" i="1" s="1"/>
  <c r="D84" i="1" l="1"/>
  <c r="AE8" i="1" s="1"/>
  <c r="AD8" i="1"/>
  <c r="B85" i="1"/>
  <c r="C85" i="1" s="1"/>
  <c r="AD9" i="1" l="1"/>
  <c r="D85" i="1"/>
  <c r="AE9" i="1" s="1"/>
  <c r="B86" i="1"/>
  <c r="C86" i="1" s="1"/>
  <c r="AD10" i="1" l="1"/>
  <c r="D86" i="1"/>
  <c r="B87" i="1"/>
  <c r="C87" i="1" s="1"/>
  <c r="AD11" i="1" l="1"/>
  <c r="AE10" i="1"/>
  <c r="D87" i="1"/>
  <c r="B88" i="1"/>
  <c r="C88" i="1" s="1"/>
  <c r="AE11" i="1" l="1"/>
  <c r="D88" i="1"/>
  <c r="AD12" i="1"/>
  <c r="B89" i="1"/>
  <c r="C89" i="1" s="1"/>
  <c r="AD13" i="1" l="1"/>
  <c r="AE12" i="1"/>
  <c r="D89" i="1"/>
  <c r="AE13" i="1" s="1"/>
  <c r="B90" i="1"/>
  <c r="C90" i="1" s="1"/>
  <c r="AD14" i="1" l="1"/>
  <c r="B91" i="1"/>
  <c r="C91" i="1" s="1"/>
  <c r="D90" i="1"/>
  <c r="AE14" i="1" s="1"/>
  <c r="D91" i="1" l="1"/>
  <c r="AE15" i="1" s="1"/>
  <c r="AD15" i="1"/>
  <c r="B92" i="1"/>
  <c r="C92" i="1" s="1"/>
  <c r="B93" i="1" l="1"/>
  <c r="C93" i="1" s="1"/>
  <c r="AD17" i="1" s="1"/>
  <c r="D92" i="1"/>
  <c r="AE16" i="1" s="1"/>
  <c r="AD16" i="1"/>
  <c r="D93" i="1"/>
  <c r="AE17" i="1" s="1"/>
  <c r="B94" i="1"/>
  <c r="C94" i="1" s="1"/>
  <c r="D94" i="1" l="1"/>
  <c r="AE18" i="1" s="1"/>
  <c r="AD18" i="1"/>
  <c r="B95" i="1"/>
  <c r="C95" i="1" s="1"/>
  <c r="D95" i="1" l="1"/>
  <c r="AE19" i="1" s="1"/>
  <c r="AD19" i="1"/>
  <c r="B96" i="1"/>
  <c r="C96" i="1" s="1"/>
  <c r="D96" i="1" l="1"/>
  <c r="AE20" i="1" s="1"/>
  <c r="AD20" i="1"/>
  <c r="B97" i="1"/>
  <c r="C97" i="1" s="1"/>
  <c r="B98" i="1" l="1"/>
  <c r="C98" i="1" s="1"/>
  <c r="AD22" i="1" s="1"/>
  <c r="D98" i="1"/>
  <c r="AE22" i="1" s="1"/>
  <c r="D97" i="1"/>
  <c r="AE21" i="1" s="1"/>
  <c r="AD21" i="1"/>
  <c r="B99" i="1"/>
  <c r="C99" i="1" s="1"/>
  <c r="D99" i="1" l="1"/>
  <c r="AE23" i="1" s="1"/>
  <c r="AD23" i="1"/>
  <c r="B100" i="1"/>
  <c r="C100" i="1" s="1"/>
  <c r="D100" i="1" l="1"/>
  <c r="AE24" i="1" s="1"/>
  <c r="AD24" i="1"/>
  <c r="B101" i="1"/>
  <c r="C101" i="1" s="1"/>
  <c r="A64" i="4" l="1"/>
  <c r="A48" i="4"/>
  <c r="A37" i="4"/>
  <c r="A63" i="4"/>
  <c r="A27" i="4"/>
  <c r="A41" i="4"/>
  <c r="A47" i="4"/>
  <c r="A74" i="4"/>
  <c r="A29" i="4"/>
  <c r="A75" i="4"/>
  <c r="A33" i="4"/>
  <c r="A22" i="4"/>
  <c r="A69" i="4"/>
  <c r="A66" i="4"/>
  <c r="A18" i="4"/>
  <c r="A68" i="4"/>
  <c r="A23" i="4"/>
  <c r="A35" i="4"/>
  <c r="A19" i="4"/>
  <c r="A28" i="4"/>
  <c r="A53" i="4"/>
  <c r="A45" i="4"/>
  <c r="A46" i="4"/>
  <c r="A52" i="4"/>
  <c r="A40" i="4"/>
  <c r="A30" i="4"/>
  <c r="A70" i="4"/>
  <c r="A26" i="4"/>
  <c r="A67" i="4"/>
  <c r="A65" i="4"/>
  <c r="A55" i="4"/>
  <c r="A73" i="4"/>
  <c r="A56" i="4"/>
  <c r="A31" i="4"/>
  <c r="A72" i="4"/>
  <c r="A36" i="4"/>
  <c r="A21" i="4"/>
  <c r="A58" i="4"/>
  <c r="A54" i="4"/>
  <c r="A34" i="4"/>
  <c r="A17" i="4"/>
  <c r="A38" i="4"/>
  <c r="A77" i="4"/>
  <c r="A20" i="4"/>
  <c r="A24" i="4"/>
  <c r="A71" i="4"/>
  <c r="A32" i="4"/>
  <c r="A50" i="4"/>
  <c r="A44" i="4"/>
  <c r="A49" i="4"/>
  <c r="A57" i="4"/>
  <c r="A25" i="4"/>
  <c r="A60" i="4"/>
  <c r="A76" i="4"/>
  <c r="A51" i="4"/>
  <c r="A39" i="4"/>
  <c r="A61" i="4"/>
  <c r="A43" i="4"/>
  <c r="A62" i="4"/>
  <c r="A59" i="4"/>
  <c r="A42" i="4"/>
  <c r="AD25" i="1"/>
  <c r="D101" i="1"/>
  <c r="A16" i="4"/>
  <c r="A15" i="4"/>
  <c r="L50" i="4" l="1"/>
  <c r="D50" i="4"/>
  <c r="E50" i="4"/>
  <c r="B50" i="4"/>
  <c r="L36" i="4"/>
  <c r="E36" i="4"/>
  <c r="D36" i="4"/>
  <c r="B36" i="4"/>
  <c r="L26" i="4"/>
  <c r="E26" i="4"/>
  <c r="D26" i="4"/>
  <c r="B26" i="4"/>
  <c r="L28" i="4"/>
  <c r="E28" i="4"/>
  <c r="D28" i="4"/>
  <c r="B28" i="4"/>
  <c r="L74" i="4"/>
  <c r="D74" i="4"/>
  <c r="E74" i="4"/>
  <c r="B74" i="4"/>
  <c r="L63" i="4"/>
  <c r="D63" i="4"/>
  <c r="E63" i="4"/>
  <c r="B63" i="4"/>
  <c r="L62" i="4"/>
  <c r="E62" i="4"/>
  <c r="D62" i="4"/>
  <c r="B62" i="4"/>
  <c r="L51" i="4"/>
  <c r="E51" i="4"/>
  <c r="D51" i="4"/>
  <c r="B51" i="4"/>
  <c r="L57" i="4"/>
  <c r="E57" i="4"/>
  <c r="D57" i="4"/>
  <c r="B57" i="4"/>
  <c r="L32" i="4"/>
  <c r="E32" i="4"/>
  <c r="D32" i="4"/>
  <c r="B32" i="4"/>
  <c r="L77" i="4"/>
  <c r="E77" i="4"/>
  <c r="D77" i="4"/>
  <c r="B77" i="4"/>
  <c r="L54" i="4"/>
  <c r="E54" i="4"/>
  <c r="D54" i="4"/>
  <c r="B54" i="4"/>
  <c r="L72" i="4"/>
  <c r="D72" i="4"/>
  <c r="E72" i="4"/>
  <c r="B72" i="4"/>
  <c r="L55" i="4"/>
  <c r="D55" i="4"/>
  <c r="E55" i="4"/>
  <c r="B55" i="4"/>
  <c r="L70" i="4"/>
  <c r="E70" i="4"/>
  <c r="D70" i="4"/>
  <c r="B70" i="4"/>
  <c r="L46" i="4"/>
  <c r="D46" i="4"/>
  <c r="E46" i="4"/>
  <c r="B46" i="4"/>
  <c r="L19" i="4"/>
  <c r="E19" i="4"/>
  <c r="D19" i="4"/>
  <c r="B19" i="4"/>
  <c r="L18" i="4"/>
  <c r="E18" i="4"/>
  <c r="D18" i="4"/>
  <c r="B18" i="4"/>
  <c r="L33" i="4"/>
  <c r="E33" i="4"/>
  <c r="D33" i="4"/>
  <c r="B33" i="4"/>
  <c r="L47" i="4"/>
  <c r="E47" i="4"/>
  <c r="D47" i="4"/>
  <c r="B47" i="4"/>
  <c r="L37" i="4"/>
  <c r="D37" i="4"/>
  <c r="E37" i="4"/>
  <c r="B37" i="4"/>
  <c r="L16" i="4"/>
  <c r="D16" i="4"/>
  <c r="E16" i="4"/>
  <c r="B16" i="4"/>
  <c r="L20" i="4"/>
  <c r="D20" i="4"/>
  <c r="E20" i="4"/>
  <c r="B20" i="4"/>
  <c r="L68" i="4"/>
  <c r="D68" i="4"/>
  <c r="E68" i="4"/>
  <c r="B68" i="4"/>
  <c r="L76" i="4"/>
  <c r="E76" i="4"/>
  <c r="D76" i="4"/>
  <c r="B76" i="4"/>
  <c r="L49" i="4"/>
  <c r="E49" i="4"/>
  <c r="D49" i="4"/>
  <c r="B49" i="4"/>
  <c r="L71" i="4"/>
  <c r="E71" i="4"/>
  <c r="D71" i="4"/>
  <c r="B71" i="4"/>
  <c r="L38" i="4"/>
  <c r="E38" i="4"/>
  <c r="D38" i="4"/>
  <c r="B38" i="4"/>
  <c r="L58" i="4"/>
  <c r="E58" i="4"/>
  <c r="D58" i="4"/>
  <c r="B58" i="4"/>
  <c r="L31" i="4"/>
  <c r="D31" i="4"/>
  <c r="E31" i="4"/>
  <c r="B31" i="4"/>
  <c r="L65" i="4"/>
  <c r="E65" i="4"/>
  <c r="D65" i="4"/>
  <c r="B65" i="4"/>
  <c r="L30" i="4"/>
  <c r="E30" i="4"/>
  <c r="D30" i="4"/>
  <c r="B30" i="4"/>
  <c r="L45" i="4"/>
  <c r="E45" i="4"/>
  <c r="D45" i="4"/>
  <c r="B45" i="4"/>
  <c r="L35" i="4"/>
  <c r="D35" i="4"/>
  <c r="E35" i="4"/>
  <c r="B35" i="4"/>
  <c r="L66" i="4"/>
  <c r="E66" i="4"/>
  <c r="D66" i="4"/>
  <c r="B66" i="4"/>
  <c r="L75" i="4"/>
  <c r="E75" i="4"/>
  <c r="D75" i="4"/>
  <c r="B75" i="4"/>
  <c r="L41" i="4"/>
  <c r="E41" i="4"/>
  <c r="D41" i="4"/>
  <c r="B41" i="4"/>
  <c r="L48" i="4"/>
  <c r="E48" i="4"/>
  <c r="D48" i="4"/>
  <c r="B48" i="4"/>
  <c r="L59" i="4"/>
  <c r="D59" i="4"/>
  <c r="E59" i="4"/>
  <c r="B59" i="4"/>
  <c r="L34" i="4"/>
  <c r="E34" i="4"/>
  <c r="D34" i="4"/>
  <c r="B34" i="4"/>
  <c r="L73" i="4"/>
  <c r="E73" i="4"/>
  <c r="D73" i="4"/>
  <c r="B73" i="4"/>
  <c r="L52" i="4"/>
  <c r="D52" i="4"/>
  <c r="E52" i="4"/>
  <c r="B52" i="4"/>
  <c r="L22" i="4"/>
  <c r="D22" i="4"/>
  <c r="E22" i="4"/>
  <c r="B22" i="4"/>
  <c r="L43" i="4"/>
  <c r="E43" i="4"/>
  <c r="D43" i="4"/>
  <c r="B43" i="4"/>
  <c r="L15" i="4"/>
  <c r="E15" i="4"/>
  <c r="D15" i="4"/>
  <c r="B15" i="4"/>
  <c r="L42" i="4"/>
  <c r="D42" i="4"/>
  <c r="E42" i="4"/>
  <c r="B42" i="4"/>
  <c r="L61" i="4"/>
  <c r="E61" i="4"/>
  <c r="D61" i="4"/>
  <c r="B61" i="4"/>
  <c r="L60" i="4"/>
  <c r="E60" i="4"/>
  <c r="D60" i="4"/>
  <c r="B60" i="4"/>
  <c r="L44" i="4"/>
  <c r="E44" i="4"/>
  <c r="D44" i="4"/>
  <c r="B44" i="4"/>
  <c r="L24" i="4"/>
  <c r="E24" i="4"/>
  <c r="D24" i="4"/>
  <c r="B24" i="4"/>
  <c r="L17" i="4"/>
  <c r="E17" i="4"/>
  <c r="D17" i="4"/>
  <c r="B17" i="4"/>
  <c r="L21" i="4"/>
  <c r="E21" i="4"/>
  <c r="D21" i="4"/>
  <c r="B21" i="4"/>
  <c r="L56" i="4"/>
  <c r="E56" i="4"/>
  <c r="D56" i="4"/>
  <c r="B56" i="4"/>
  <c r="L40" i="4"/>
  <c r="E40" i="4"/>
  <c r="D40" i="4"/>
  <c r="B40" i="4"/>
  <c r="L23" i="4"/>
  <c r="E23" i="4"/>
  <c r="D23" i="4"/>
  <c r="B23" i="4"/>
  <c r="L69" i="4"/>
  <c r="E69" i="4"/>
  <c r="D69" i="4"/>
  <c r="B69" i="4"/>
  <c r="L29" i="4"/>
  <c r="E29" i="4"/>
  <c r="D29" i="4"/>
  <c r="B29" i="4"/>
  <c r="L27" i="4"/>
  <c r="D27" i="4"/>
  <c r="E27" i="4"/>
  <c r="B27" i="4"/>
  <c r="L64" i="4"/>
  <c r="E64" i="4"/>
  <c r="D64" i="4"/>
  <c r="B64" i="4"/>
  <c r="E25" i="4"/>
  <c r="D25" i="4"/>
  <c r="E39" i="4"/>
  <c r="D39" i="4"/>
  <c r="E67" i="4"/>
  <c r="D67" i="4"/>
  <c r="E53" i="4"/>
  <c r="D53" i="4"/>
  <c r="L25" i="4"/>
  <c r="B25" i="4"/>
  <c r="L39" i="4"/>
  <c r="B39" i="4"/>
  <c r="L67" i="4"/>
  <c r="B67" i="4"/>
  <c r="L53" i="4"/>
  <c r="B53" i="4"/>
  <c r="F39" i="4"/>
  <c r="K39" i="4"/>
  <c r="H39" i="4"/>
  <c r="C39" i="4"/>
  <c r="M39" i="4"/>
  <c r="J39" i="4"/>
  <c r="I39" i="4"/>
  <c r="G39" i="4"/>
  <c r="K20" i="4"/>
  <c r="C20" i="4"/>
  <c r="M20" i="4"/>
  <c r="I20" i="4"/>
  <c r="G20" i="4"/>
  <c r="H20" i="4"/>
  <c r="J20" i="4"/>
  <c r="F20" i="4"/>
  <c r="C34" i="4"/>
  <c r="I34" i="4"/>
  <c r="M34" i="4"/>
  <c r="J34" i="4"/>
  <c r="G34" i="4"/>
  <c r="F34" i="4"/>
  <c r="K34" i="4"/>
  <c r="H34" i="4"/>
  <c r="M36" i="4"/>
  <c r="I36" i="4"/>
  <c r="C36" i="4"/>
  <c r="K36" i="4"/>
  <c r="H36" i="4"/>
  <c r="F36" i="4"/>
  <c r="G36" i="4"/>
  <c r="J36" i="4"/>
  <c r="C73" i="4"/>
  <c r="K73" i="4"/>
  <c r="H73" i="4"/>
  <c r="F73" i="4"/>
  <c r="M73" i="4"/>
  <c r="I73" i="4"/>
  <c r="J73" i="4"/>
  <c r="G73" i="4"/>
  <c r="M26" i="4"/>
  <c r="I26" i="4"/>
  <c r="K26" i="4"/>
  <c r="H26" i="4"/>
  <c r="C26" i="4"/>
  <c r="J26" i="4"/>
  <c r="G26" i="4"/>
  <c r="F26" i="4"/>
  <c r="G52" i="4"/>
  <c r="C52" i="4"/>
  <c r="J52" i="4"/>
  <c r="M52" i="4"/>
  <c r="I52" i="4"/>
  <c r="H52" i="4"/>
  <c r="K52" i="4"/>
  <c r="F52" i="4"/>
  <c r="J28" i="4"/>
  <c r="G28" i="4"/>
  <c r="M28" i="4"/>
  <c r="K28" i="4"/>
  <c r="C28" i="4"/>
  <c r="I28" i="4"/>
  <c r="H28" i="4"/>
  <c r="F28" i="4"/>
  <c r="M68" i="4"/>
  <c r="I68" i="4"/>
  <c r="J68" i="4"/>
  <c r="G68" i="4"/>
  <c r="F68" i="4"/>
  <c r="C68" i="4"/>
  <c r="K68" i="4"/>
  <c r="H68" i="4"/>
  <c r="G22" i="4"/>
  <c r="H22" i="4"/>
  <c r="J22" i="4"/>
  <c r="K22" i="4"/>
  <c r="C22" i="4"/>
  <c r="I22" i="4"/>
  <c r="M22" i="4"/>
  <c r="F22" i="4"/>
  <c r="K74" i="4"/>
  <c r="H74" i="4"/>
  <c r="M74" i="4"/>
  <c r="I74" i="4"/>
  <c r="J74" i="4"/>
  <c r="G74" i="4"/>
  <c r="F74" i="4"/>
  <c r="C74" i="4"/>
  <c r="G63" i="4"/>
  <c r="C63" i="4"/>
  <c r="I63" i="4"/>
  <c r="H63" i="4"/>
  <c r="J63" i="4"/>
  <c r="F63" i="4"/>
  <c r="M63" i="4"/>
  <c r="K63" i="4"/>
  <c r="F61" i="4"/>
  <c r="I61" i="4"/>
  <c r="M61" i="4"/>
  <c r="C61" i="4"/>
  <c r="J61" i="4"/>
  <c r="K61" i="4"/>
  <c r="H61" i="4"/>
  <c r="G61" i="4"/>
  <c r="K25" i="4"/>
  <c r="H25" i="4"/>
  <c r="C25" i="4"/>
  <c r="J25" i="4"/>
  <c r="G25" i="4"/>
  <c r="M25" i="4"/>
  <c r="I25" i="4"/>
  <c r="F25" i="4"/>
  <c r="E44" i="5"/>
  <c r="O23" i="4"/>
  <c r="O74" i="4"/>
  <c r="O65" i="4"/>
  <c r="O57" i="4"/>
  <c r="O27" i="4"/>
  <c r="O40" i="4"/>
  <c r="O22" i="4"/>
  <c r="O71" i="4"/>
  <c r="O43" i="4"/>
  <c r="O45" i="4"/>
  <c r="O53" i="4"/>
  <c r="O34" i="4"/>
  <c r="O70" i="4"/>
  <c r="O55" i="4"/>
  <c r="O56" i="4"/>
  <c r="O69" i="4"/>
  <c r="O38" i="4"/>
  <c r="O25" i="4"/>
  <c r="O47" i="4"/>
  <c r="O72" i="4"/>
  <c r="O24" i="4"/>
  <c r="O49" i="4"/>
  <c r="O59" i="4"/>
  <c r="O52" i="4"/>
  <c r="O60" i="4"/>
  <c r="O17" i="4"/>
  <c r="O66" i="4"/>
  <c r="O32" i="4"/>
  <c r="O42" i="4"/>
  <c r="O28" i="4"/>
  <c r="O36" i="4"/>
  <c r="O50" i="4"/>
  <c r="O26" i="4"/>
  <c r="O18" i="4"/>
  <c r="O63" i="4"/>
  <c r="O29" i="4"/>
  <c r="O61" i="4"/>
  <c r="O20" i="4"/>
  <c r="O21" i="4"/>
  <c r="O75" i="4"/>
  <c r="O48" i="4"/>
  <c r="O51" i="4"/>
  <c r="O77" i="4"/>
  <c r="O31" i="4"/>
  <c r="O68" i="4"/>
  <c r="O35" i="4"/>
  <c r="O44" i="4"/>
  <c r="O67" i="4"/>
  <c r="O62" i="4"/>
  <c r="O64" i="4"/>
  <c r="O73" i="4"/>
  <c r="O76" i="4"/>
  <c r="O37" i="4"/>
  <c r="O30" i="4"/>
  <c r="O54" i="4"/>
  <c r="O41" i="4"/>
  <c r="O33" i="4"/>
  <c r="O39" i="4"/>
  <c r="O46" i="4"/>
  <c r="O19" i="4"/>
  <c r="O58" i="4"/>
  <c r="J51" i="4"/>
  <c r="G51" i="4"/>
  <c r="C51" i="4"/>
  <c r="M51" i="4"/>
  <c r="I51" i="4"/>
  <c r="F51" i="4"/>
  <c r="H51" i="4"/>
  <c r="K51" i="4"/>
  <c r="K32" i="4"/>
  <c r="I32" i="4"/>
  <c r="C32" i="4"/>
  <c r="H32" i="4"/>
  <c r="M32" i="4"/>
  <c r="J32" i="4"/>
  <c r="G32" i="4"/>
  <c r="F32" i="4"/>
  <c r="C77" i="4"/>
  <c r="K77" i="4"/>
  <c r="H77" i="4"/>
  <c r="F77" i="4"/>
  <c r="M77" i="4"/>
  <c r="I77" i="4"/>
  <c r="J77" i="4"/>
  <c r="G77" i="4"/>
  <c r="J54" i="4"/>
  <c r="F54" i="4"/>
  <c r="G54" i="4"/>
  <c r="C54" i="4"/>
  <c r="M54" i="4"/>
  <c r="K54" i="4"/>
  <c r="H54" i="4"/>
  <c r="I54" i="4"/>
  <c r="C72" i="4"/>
  <c r="K72" i="4"/>
  <c r="H72" i="4"/>
  <c r="M72" i="4"/>
  <c r="I72" i="4"/>
  <c r="J72" i="4"/>
  <c r="G72" i="4"/>
  <c r="F72" i="4"/>
  <c r="G55" i="4"/>
  <c r="M55" i="4"/>
  <c r="C55" i="4"/>
  <c r="J55" i="4"/>
  <c r="K55" i="4"/>
  <c r="H55" i="4"/>
  <c r="F55" i="4"/>
  <c r="I55" i="4"/>
  <c r="M70" i="4"/>
  <c r="I70" i="4"/>
  <c r="J70" i="4"/>
  <c r="G70" i="4"/>
  <c r="F70" i="4"/>
  <c r="C70" i="4"/>
  <c r="K70" i="4"/>
  <c r="H70" i="4"/>
  <c r="M46" i="4"/>
  <c r="I46" i="4"/>
  <c r="C46" i="4"/>
  <c r="F46" i="4"/>
  <c r="K46" i="4"/>
  <c r="H46" i="4"/>
  <c r="J46" i="4"/>
  <c r="G46" i="4"/>
  <c r="M19" i="4"/>
  <c r="I19" i="4"/>
  <c r="H19" i="4"/>
  <c r="J19" i="4"/>
  <c r="G19" i="4"/>
  <c r="C19" i="4"/>
  <c r="K19" i="4"/>
  <c r="F19" i="4"/>
  <c r="K18" i="4"/>
  <c r="I18" i="4"/>
  <c r="C18" i="4"/>
  <c r="H18" i="4"/>
  <c r="M18" i="4"/>
  <c r="J18" i="4"/>
  <c r="G18" i="4"/>
  <c r="F18" i="4"/>
  <c r="G33" i="4"/>
  <c r="J33" i="4"/>
  <c r="H33" i="4"/>
  <c r="C33" i="4"/>
  <c r="I33" i="4"/>
  <c r="F33" i="4"/>
  <c r="M33" i="4"/>
  <c r="K33" i="4"/>
  <c r="F47" i="4"/>
  <c r="K47" i="4"/>
  <c r="H47" i="4"/>
  <c r="C47" i="4"/>
  <c r="M47" i="4"/>
  <c r="J47" i="4"/>
  <c r="I47" i="4"/>
  <c r="G47" i="4"/>
  <c r="F37" i="4"/>
  <c r="K37" i="4"/>
  <c r="H37" i="4"/>
  <c r="J37" i="4"/>
  <c r="C37" i="4"/>
  <c r="M37" i="4"/>
  <c r="G37" i="4"/>
  <c r="I37" i="4"/>
  <c r="K24" i="4"/>
  <c r="G24" i="4"/>
  <c r="I24" i="4"/>
  <c r="J24" i="4"/>
  <c r="C24" i="4"/>
  <c r="H24" i="4"/>
  <c r="M24" i="4"/>
  <c r="F24" i="4"/>
  <c r="G59" i="4"/>
  <c r="F59" i="4"/>
  <c r="I59" i="4"/>
  <c r="M59" i="4"/>
  <c r="C59" i="4"/>
  <c r="J59" i="4"/>
  <c r="K59" i="4"/>
  <c r="H59" i="4"/>
  <c r="I50" i="4"/>
  <c r="G50" i="4"/>
  <c r="J50" i="4"/>
  <c r="C50" i="4"/>
  <c r="M50" i="4"/>
  <c r="H50" i="4"/>
  <c r="K50" i="4"/>
  <c r="F50" i="4"/>
  <c r="J62" i="4"/>
  <c r="F62" i="4"/>
  <c r="G62" i="4"/>
  <c r="C62" i="4"/>
  <c r="M62" i="4"/>
  <c r="K62" i="4"/>
  <c r="H62" i="4"/>
  <c r="I62" i="4"/>
  <c r="F57" i="4"/>
  <c r="I57" i="4"/>
  <c r="M57" i="4"/>
  <c r="C57" i="4"/>
  <c r="J57" i="4"/>
  <c r="G57" i="4"/>
  <c r="K57" i="4"/>
  <c r="H57" i="4"/>
  <c r="F43" i="4"/>
  <c r="K43" i="4"/>
  <c r="H43" i="4"/>
  <c r="C43" i="4"/>
  <c r="M43" i="4"/>
  <c r="J43" i="4"/>
  <c r="I43" i="4"/>
  <c r="G43" i="4"/>
  <c r="K76" i="4"/>
  <c r="H76" i="4"/>
  <c r="M76" i="4"/>
  <c r="I76" i="4"/>
  <c r="J76" i="4"/>
  <c r="G76" i="4"/>
  <c r="F76" i="4"/>
  <c r="C76" i="4"/>
  <c r="J49" i="4"/>
  <c r="C49" i="4"/>
  <c r="M49" i="4"/>
  <c r="G49" i="4"/>
  <c r="I49" i="4"/>
  <c r="F49" i="4"/>
  <c r="H49" i="4"/>
  <c r="K49" i="4"/>
  <c r="K71" i="4"/>
  <c r="H71" i="4"/>
  <c r="F71" i="4"/>
  <c r="M71" i="4"/>
  <c r="I71" i="4"/>
  <c r="J71" i="4"/>
  <c r="G71" i="4"/>
  <c r="C71" i="4"/>
  <c r="I38" i="4"/>
  <c r="C38" i="4"/>
  <c r="M38" i="4"/>
  <c r="G38" i="4"/>
  <c r="F38" i="4"/>
  <c r="K38" i="4"/>
  <c r="H38" i="4"/>
  <c r="J38" i="4"/>
  <c r="J58" i="4"/>
  <c r="C58" i="4"/>
  <c r="M58" i="4"/>
  <c r="G58" i="4"/>
  <c r="I58" i="4"/>
  <c r="F58" i="4"/>
  <c r="K58" i="4"/>
  <c r="H58" i="4"/>
  <c r="I31" i="4"/>
  <c r="M31" i="4"/>
  <c r="H31" i="4"/>
  <c r="J31" i="4"/>
  <c r="C31" i="4"/>
  <c r="G31" i="4"/>
  <c r="K31" i="4"/>
  <c r="F31" i="4"/>
  <c r="F65" i="4"/>
  <c r="M65" i="4"/>
  <c r="I65" i="4"/>
  <c r="J65" i="4"/>
  <c r="G65" i="4"/>
  <c r="C65" i="4"/>
  <c r="K65" i="4"/>
  <c r="H65" i="4"/>
  <c r="K30" i="4"/>
  <c r="H30" i="4"/>
  <c r="C30" i="4"/>
  <c r="J30" i="4"/>
  <c r="G30" i="4"/>
  <c r="M30" i="4"/>
  <c r="I30" i="4"/>
  <c r="F30" i="4"/>
  <c r="F45" i="4"/>
  <c r="J45" i="4"/>
  <c r="G45" i="4"/>
  <c r="C45" i="4"/>
  <c r="M45" i="4"/>
  <c r="I45" i="4"/>
  <c r="K45" i="4"/>
  <c r="H45" i="4"/>
  <c r="F35" i="4"/>
  <c r="G35" i="4"/>
  <c r="C35" i="4"/>
  <c r="M35" i="4"/>
  <c r="K35" i="4"/>
  <c r="H35" i="4"/>
  <c r="I35" i="4"/>
  <c r="J35" i="4"/>
  <c r="M66" i="4"/>
  <c r="I66" i="4"/>
  <c r="J66" i="4"/>
  <c r="G66" i="4"/>
  <c r="F66" i="4"/>
  <c r="C66" i="4"/>
  <c r="K66" i="4"/>
  <c r="H66" i="4"/>
  <c r="M75" i="4"/>
  <c r="I75" i="4"/>
  <c r="J75" i="4"/>
  <c r="G75" i="4"/>
  <c r="C75" i="4"/>
  <c r="K75" i="4"/>
  <c r="H75" i="4"/>
  <c r="F75" i="4"/>
  <c r="F41" i="4"/>
  <c r="J41" i="4"/>
  <c r="G41" i="4"/>
  <c r="C41" i="4"/>
  <c r="M41" i="4"/>
  <c r="I41" i="4"/>
  <c r="K41" i="4"/>
  <c r="H41" i="4"/>
  <c r="G48" i="4"/>
  <c r="J48" i="4"/>
  <c r="C48" i="4"/>
  <c r="I48" i="4"/>
  <c r="M48" i="4"/>
  <c r="H48" i="4"/>
  <c r="K48" i="4"/>
  <c r="F48" i="4"/>
  <c r="M42" i="4"/>
  <c r="C42" i="4"/>
  <c r="I42" i="4"/>
  <c r="F42" i="4"/>
  <c r="K42" i="4"/>
  <c r="H42" i="4"/>
  <c r="J42" i="4"/>
  <c r="G42" i="4"/>
  <c r="K60" i="4"/>
  <c r="H60" i="4"/>
  <c r="C60" i="4"/>
  <c r="M60" i="4"/>
  <c r="F60" i="4"/>
  <c r="J60" i="4"/>
  <c r="I60" i="4"/>
  <c r="G60" i="4"/>
  <c r="M44" i="4"/>
  <c r="C44" i="4"/>
  <c r="I44" i="4"/>
  <c r="F44" i="4"/>
  <c r="G44" i="4"/>
  <c r="K44" i="4"/>
  <c r="H44" i="4"/>
  <c r="J44" i="4"/>
  <c r="G17" i="4"/>
  <c r="C17" i="4"/>
  <c r="K17" i="4"/>
  <c r="H17" i="4"/>
  <c r="M17" i="4"/>
  <c r="I17" i="4"/>
  <c r="J17" i="4"/>
  <c r="F17" i="4"/>
  <c r="M21" i="4"/>
  <c r="K21" i="4"/>
  <c r="I21" i="4"/>
  <c r="H21" i="4"/>
  <c r="C21" i="4"/>
  <c r="J21" i="4"/>
  <c r="G21" i="4"/>
  <c r="F21" i="4"/>
  <c r="F56" i="4"/>
  <c r="I56" i="4"/>
  <c r="K56" i="4"/>
  <c r="H56" i="4"/>
  <c r="J56" i="4"/>
  <c r="G56" i="4"/>
  <c r="C56" i="4"/>
  <c r="M56" i="4"/>
  <c r="C67" i="4"/>
  <c r="K67" i="4"/>
  <c r="H67" i="4"/>
  <c r="F67" i="4"/>
  <c r="M67" i="4"/>
  <c r="I67" i="4"/>
  <c r="J67" i="4"/>
  <c r="G67" i="4"/>
  <c r="I40" i="4"/>
  <c r="M40" i="4"/>
  <c r="C40" i="4"/>
  <c r="F40" i="4"/>
  <c r="G40" i="4"/>
  <c r="K40" i="4"/>
  <c r="H40" i="4"/>
  <c r="J40" i="4"/>
  <c r="M53" i="4"/>
  <c r="J53" i="4"/>
  <c r="C53" i="4"/>
  <c r="G53" i="4"/>
  <c r="K53" i="4"/>
  <c r="H53" i="4"/>
  <c r="I53" i="4"/>
  <c r="F53" i="4"/>
  <c r="G23" i="4"/>
  <c r="K23" i="4"/>
  <c r="C23" i="4"/>
  <c r="M23" i="4"/>
  <c r="H23" i="4"/>
  <c r="I23" i="4"/>
  <c r="J23" i="4"/>
  <c r="F23" i="4"/>
  <c r="K69" i="4"/>
  <c r="H69" i="4"/>
  <c r="F69" i="4"/>
  <c r="M69" i="4"/>
  <c r="I69" i="4"/>
  <c r="J69" i="4"/>
  <c r="G69" i="4"/>
  <c r="C69" i="4"/>
  <c r="J29" i="4"/>
  <c r="M29" i="4"/>
  <c r="H29" i="4"/>
  <c r="C29" i="4"/>
  <c r="K29" i="4"/>
  <c r="G29" i="4"/>
  <c r="I29" i="4"/>
  <c r="F29" i="4"/>
  <c r="M27" i="4"/>
  <c r="I27" i="4"/>
  <c r="H27" i="4"/>
  <c r="G27" i="4"/>
  <c r="J27" i="4"/>
  <c r="K27" i="4"/>
  <c r="C27" i="4"/>
  <c r="F27" i="4"/>
  <c r="C64" i="4"/>
  <c r="K64" i="4"/>
  <c r="H64" i="4"/>
  <c r="M64" i="4"/>
  <c r="I64" i="4"/>
  <c r="J64" i="4"/>
  <c r="G64" i="4"/>
  <c r="F64" i="4"/>
  <c r="AE25" i="1"/>
  <c r="O16" i="4"/>
  <c r="O15" i="4"/>
  <c r="I15" i="4"/>
  <c r="G15" i="4"/>
  <c r="M15" i="4"/>
  <c r="H15" i="4"/>
  <c r="J15" i="4"/>
  <c r="F15" i="4"/>
  <c r="C15" i="4"/>
  <c r="K15" i="4"/>
  <c r="I16" i="4"/>
  <c r="G16" i="4"/>
  <c r="J16" i="4"/>
  <c r="K16" i="4"/>
  <c r="H16" i="4"/>
  <c r="C16" i="4"/>
  <c r="M16" i="4"/>
  <c r="F16" i="4"/>
  <c r="U58" i="4" l="1"/>
  <c r="P58" i="4"/>
  <c r="Q58" i="4"/>
  <c r="R58" i="4"/>
  <c r="U62" i="4"/>
  <c r="P62" i="4"/>
  <c r="Q62" i="4"/>
  <c r="R62" i="4"/>
  <c r="U61" i="4"/>
  <c r="Q61" i="4"/>
  <c r="P61" i="4"/>
  <c r="R61" i="4"/>
  <c r="U60" i="4"/>
  <c r="Q60" i="4"/>
  <c r="P60" i="4"/>
  <c r="R60" i="4"/>
  <c r="U24" i="4"/>
  <c r="P24" i="4"/>
  <c r="Q24" i="4"/>
  <c r="R24" i="4"/>
  <c r="U27" i="4"/>
  <c r="Q27" i="4"/>
  <c r="P27" i="4"/>
  <c r="R27" i="4"/>
  <c r="P16" i="4"/>
  <c r="Q16" i="4"/>
  <c r="R16" i="4"/>
  <c r="U46" i="4"/>
  <c r="Q46" i="4"/>
  <c r="P46" i="4"/>
  <c r="R46" i="4"/>
  <c r="U54" i="4"/>
  <c r="Q54" i="4"/>
  <c r="P54" i="4"/>
  <c r="R54" i="4"/>
  <c r="U73" i="4"/>
  <c r="Q73" i="4"/>
  <c r="P73" i="4"/>
  <c r="R73" i="4"/>
  <c r="U44" i="4"/>
  <c r="P44" i="4"/>
  <c r="Q44" i="4"/>
  <c r="R44" i="4"/>
  <c r="U77" i="4"/>
  <c r="Q77" i="4"/>
  <c r="P77" i="4"/>
  <c r="R77" i="4"/>
  <c r="U21" i="4"/>
  <c r="Q21" i="4"/>
  <c r="P21" i="4"/>
  <c r="R21" i="4"/>
  <c r="U63" i="4"/>
  <c r="Q63" i="4"/>
  <c r="P63" i="4"/>
  <c r="R63" i="4"/>
  <c r="U36" i="4"/>
  <c r="Q36" i="4"/>
  <c r="P36" i="4"/>
  <c r="R36" i="4"/>
  <c r="U66" i="4"/>
  <c r="Q66" i="4"/>
  <c r="P66" i="4"/>
  <c r="R66" i="4"/>
  <c r="U59" i="4"/>
  <c r="Q59" i="4"/>
  <c r="P59" i="4"/>
  <c r="R59" i="4"/>
  <c r="U47" i="4"/>
  <c r="Q47" i="4"/>
  <c r="P47" i="4"/>
  <c r="R47" i="4"/>
  <c r="U56" i="4"/>
  <c r="P56" i="4"/>
  <c r="Q56" i="4"/>
  <c r="R56" i="4"/>
  <c r="Q53" i="4"/>
  <c r="P53" i="4"/>
  <c r="U22" i="4"/>
  <c r="P22" i="4"/>
  <c r="Q22" i="4"/>
  <c r="R22" i="4"/>
  <c r="U65" i="4"/>
  <c r="Q65" i="4"/>
  <c r="P65" i="4"/>
  <c r="R65" i="4"/>
  <c r="U33" i="4"/>
  <c r="Q33" i="4"/>
  <c r="P33" i="4"/>
  <c r="R33" i="4"/>
  <c r="U68" i="4"/>
  <c r="P68" i="4"/>
  <c r="Q68" i="4"/>
  <c r="R68" i="4"/>
  <c r="U26" i="4"/>
  <c r="Q26" i="4"/>
  <c r="P26" i="4"/>
  <c r="R26" i="4"/>
  <c r="U70" i="4"/>
  <c r="Q70" i="4"/>
  <c r="P70" i="4"/>
  <c r="R70" i="4"/>
  <c r="Q39" i="4"/>
  <c r="P39" i="4"/>
  <c r="U30" i="4"/>
  <c r="Q30" i="4"/>
  <c r="P30" i="4"/>
  <c r="R30" i="4"/>
  <c r="U64" i="4"/>
  <c r="P64" i="4"/>
  <c r="Q64" i="4"/>
  <c r="R64" i="4"/>
  <c r="U35" i="4"/>
  <c r="Q35" i="4"/>
  <c r="P35" i="4"/>
  <c r="R35" i="4"/>
  <c r="U51" i="4"/>
  <c r="Q51" i="4"/>
  <c r="P51" i="4"/>
  <c r="R51" i="4"/>
  <c r="U20" i="4"/>
  <c r="Q20" i="4"/>
  <c r="P20" i="4"/>
  <c r="R20" i="4"/>
  <c r="U18" i="4"/>
  <c r="P18" i="4"/>
  <c r="Q18" i="4"/>
  <c r="R18" i="4"/>
  <c r="U28" i="4"/>
  <c r="P28" i="4"/>
  <c r="Q28" i="4"/>
  <c r="R28" i="4"/>
  <c r="Q17" i="4"/>
  <c r="P17" i="4"/>
  <c r="R17" i="4"/>
  <c r="U49" i="4"/>
  <c r="Q49" i="4"/>
  <c r="P49" i="4"/>
  <c r="R49" i="4"/>
  <c r="Q25" i="4"/>
  <c r="P25" i="4"/>
  <c r="U55" i="4"/>
  <c r="Q55" i="4"/>
  <c r="P55" i="4"/>
  <c r="R55" i="4"/>
  <c r="U45" i="4"/>
  <c r="Q45" i="4"/>
  <c r="P45" i="4"/>
  <c r="R45" i="4"/>
  <c r="U40" i="4"/>
  <c r="Q40" i="4"/>
  <c r="P40" i="4"/>
  <c r="R40" i="4"/>
  <c r="U74" i="4"/>
  <c r="Q74" i="4"/>
  <c r="P74" i="4"/>
  <c r="R74" i="4"/>
  <c r="U23" i="4"/>
  <c r="Q23" i="4"/>
  <c r="P23" i="4"/>
  <c r="R23" i="4"/>
  <c r="U37" i="4"/>
  <c r="Q37" i="4"/>
  <c r="P37" i="4"/>
  <c r="R37" i="4"/>
  <c r="U48" i="4"/>
  <c r="P48" i="4"/>
  <c r="Q48" i="4"/>
  <c r="R48" i="4"/>
  <c r="U42" i="4"/>
  <c r="P42" i="4"/>
  <c r="Q42" i="4"/>
  <c r="R42" i="4"/>
  <c r="U38" i="4"/>
  <c r="P38" i="4"/>
  <c r="Q38" i="4"/>
  <c r="R38" i="4"/>
  <c r="U43" i="4"/>
  <c r="Q43" i="4"/>
  <c r="P43" i="4"/>
  <c r="R43" i="4"/>
  <c r="Q15" i="4"/>
  <c r="P15" i="4"/>
  <c r="R15" i="4"/>
  <c r="U19" i="4"/>
  <c r="Q19" i="4"/>
  <c r="P19" i="4"/>
  <c r="R19" i="4"/>
  <c r="U41" i="4"/>
  <c r="Q41" i="4"/>
  <c r="P41" i="4"/>
  <c r="R41" i="4"/>
  <c r="U76" i="4"/>
  <c r="P76" i="4"/>
  <c r="Q76" i="4"/>
  <c r="R76" i="4"/>
  <c r="Q67" i="4"/>
  <c r="P67" i="4"/>
  <c r="U31" i="4"/>
  <c r="Q31" i="4"/>
  <c r="P31" i="4"/>
  <c r="R31" i="4"/>
  <c r="U75" i="4"/>
  <c r="Q75" i="4"/>
  <c r="P75" i="4"/>
  <c r="R75" i="4"/>
  <c r="U29" i="4"/>
  <c r="Q29" i="4"/>
  <c r="P29" i="4"/>
  <c r="R29" i="4"/>
  <c r="U50" i="4"/>
  <c r="Q50" i="4"/>
  <c r="P50" i="4"/>
  <c r="R50" i="4"/>
  <c r="U32" i="4"/>
  <c r="P32" i="4"/>
  <c r="Q32" i="4"/>
  <c r="R32" i="4"/>
  <c r="U52" i="4"/>
  <c r="P52" i="4"/>
  <c r="Q52" i="4"/>
  <c r="R52" i="4"/>
  <c r="U72" i="4"/>
  <c r="P72" i="4"/>
  <c r="Q72" i="4"/>
  <c r="R72" i="4"/>
  <c r="U69" i="4"/>
  <c r="Q69" i="4"/>
  <c r="P69" i="4"/>
  <c r="R69" i="4"/>
  <c r="U34" i="4"/>
  <c r="P34" i="4"/>
  <c r="Q34" i="4"/>
  <c r="R34" i="4"/>
  <c r="U71" i="4"/>
  <c r="Q71" i="4"/>
  <c r="P71" i="4"/>
  <c r="R71" i="4"/>
  <c r="U57" i="4"/>
  <c r="Q57" i="4"/>
  <c r="P57" i="4"/>
  <c r="R57" i="4"/>
  <c r="U67" i="4"/>
  <c r="R67" i="4"/>
  <c r="U53" i="4"/>
  <c r="R53" i="4"/>
  <c r="U39" i="4"/>
  <c r="R39" i="4"/>
  <c r="U25" i="4"/>
  <c r="R25" i="4"/>
  <c r="T58" i="4"/>
  <c r="V58" i="4"/>
  <c r="S58" i="4"/>
  <c r="V33" i="4"/>
  <c r="T33" i="4"/>
  <c r="S33" i="4"/>
  <c r="S37" i="4"/>
  <c r="V37" i="4"/>
  <c r="T37" i="4"/>
  <c r="T62" i="4"/>
  <c r="S62" i="4"/>
  <c r="V62" i="4"/>
  <c r="T68" i="4"/>
  <c r="V68" i="4"/>
  <c r="S68" i="4"/>
  <c r="V48" i="4"/>
  <c r="S48" i="4"/>
  <c r="T48" i="4"/>
  <c r="S61" i="4"/>
  <c r="V61" i="4"/>
  <c r="T61" i="4"/>
  <c r="V26" i="4"/>
  <c r="T26" i="4"/>
  <c r="S26" i="4"/>
  <c r="T42" i="4"/>
  <c r="V42" i="4"/>
  <c r="S42" i="4"/>
  <c r="T60" i="4"/>
  <c r="S60" i="4"/>
  <c r="V60" i="4"/>
  <c r="V24" i="4"/>
  <c r="S24" i="4"/>
  <c r="T24" i="4"/>
  <c r="T38" i="4"/>
  <c r="S38" i="4"/>
  <c r="V38" i="4"/>
  <c r="V70" i="4"/>
  <c r="S70" i="4"/>
  <c r="T70" i="4"/>
  <c r="S43" i="4"/>
  <c r="T43" i="4"/>
  <c r="V43" i="4"/>
  <c r="V27" i="4"/>
  <c r="T27" i="4"/>
  <c r="S27" i="4"/>
  <c r="V23" i="4"/>
  <c r="T23" i="4"/>
  <c r="S23" i="4"/>
  <c r="V19" i="4"/>
  <c r="S19" i="4"/>
  <c r="T19" i="4"/>
  <c r="S41" i="4"/>
  <c r="V41" i="4"/>
  <c r="T41" i="4"/>
  <c r="T76" i="4"/>
  <c r="S76" i="4"/>
  <c r="V76" i="4"/>
  <c r="S67" i="4"/>
  <c r="T67" i="4"/>
  <c r="V67" i="4"/>
  <c r="T31" i="4"/>
  <c r="V31" i="4"/>
  <c r="S31" i="4"/>
  <c r="S75" i="4"/>
  <c r="V75" i="4"/>
  <c r="T75" i="4"/>
  <c r="V29" i="4"/>
  <c r="T29" i="4"/>
  <c r="S29" i="4"/>
  <c r="V50" i="4"/>
  <c r="T50" i="4"/>
  <c r="S50" i="4"/>
  <c r="V32" i="4"/>
  <c r="T32" i="4"/>
  <c r="S32" i="4"/>
  <c r="T52" i="4"/>
  <c r="V52" i="4"/>
  <c r="S52" i="4"/>
  <c r="S72" i="4"/>
  <c r="T72" i="4"/>
  <c r="V72" i="4"/>
  <c r="S69" i="4"/>
  <c r="T69" i="4"/>
  <c r="V69" i="4"/>
  <c r="T34" i="4"/>
  <c r="V34" i="4"/>
  <c r="S34" i="4"/>
  <c r="S71" i="4"/>
  <c r="T71" i="4"/>
  <c r="V71" i="4"/>
  <c r="S57" i="4"/>
  <c r="T57" i="4"/>
  <c r="V57" i="4"/>
  <c r="T46" i="4"/>
  <c r="S46" i="4"/>
  <c r="V46" i="4"/>
  <c r="V54" i="4"/>
  <c r="S54" i="4"/>
  <c r="T54" i="4"/>
  <c r="S73" i="4"/>
  <c r="V73" i="4"/>
  <c r="T73" i="4"/>
  <c r="V44" i="4"/>
  <c r="S44" i="4"/>
  <c r="T44" i="4"/>
  <c r="S77" i="4"/>
  <c r="V77" i="4"/>
  <c r="T77" i="4"/>
  <c r="V21" i="4"/>
  <c r="T21" i="4"/>
  <c r="S21" i="4"/>
  <c r="S63" i="4"/>
  <c r="V63" i="4"/>
  <c r="T63" i="4"/>
  <c r="V36" i="4"/>
  <c r="T36" i="4"/>
  <c r="S36" i="4"/>
  <c r="T66" i="4"/>
  <c r="V66" i="4"/>
  <c r="S66" i="4"/>
  <c r="S59" i="4"/>
  <c r="V59" i="4"/>
  <c r="T59" i="4"/>
  <c r="S47" i="4"/>
  <c r="T47" i="4"/>
  <c r="V47" i="4"/>
  <c r="S56" i="4"/>
  <c r="V56" i="4"/>
  <c r="T56" i="4"/>
  <c r="S53" i="4"/>
  <c r="V53" i="4"/>
  <c r="T53" i="4"/>
  <c r="V22" i="4"/>
  <c r="T22" i="4"/>
  <c r="S22" i="4"/>
  <c r="S65" i="4"/>
  <c r="T65" i="4"/>
  <c r="V65" i="4"/>
  <c r="S39" i="4"/>
  <c r="V39" i="4"/>
  <c r="T39" i="4"/>
  <c r="V30" i="4"/>
  <c r="T30" i="4"/>
  <c r="S30" i="4"/>
  <c r="S64" i="4"/>
  <c r="V64" i="4"/>
  <c r="T64" i="4"/>
  <c r="V35" i="4"/>
  <c r="T35" i="4"/>
  <c r="S35" i="4"/>
  <c r="S51" i="4"/>
  <c r="T51" i="4"/>
  <c r="V51" i="4"/>
  <c r="V20" i="4"/>
  <c r="S20" i="4"/>
  <c r="T20" i="4"/>
  <c r="V18" i="4"/>
  <c r="S18" i="4"/>
  <c r="T18" i="4"/>
  <c r="V28" i="4"/>
  <c r="S28" i="4"/>
  <c r="T28" i="4"/>
  <c r="V17" i="4"/>
  <c r="T17" i="4"/>
  <c r="S17" i="4"/>
  <c r="U17" i="4" s="1"/>
  <c r="S49" i="4"/>
  <c r="V49" i="4"/>
  <c r="T49" i="4"/>
  <c r="V25" i="4"/>
  <c r="T25" i="4"/>
  <c r="S25" i="4"/>
  <c r="S55" i="4"/>
  <c r="T55" i="4"/>
  <c r="V55" i="4"/>
  <c r="S45" i="4"/>
  <c r="V45" i="4"/>
  <c r="T45" i="4"/>
  <c r="V40" i="4"/>
  <c r="S40" i="4"/>
  <c r="T40" i="4"/>
  <c r="T74" i="4"/>
  <c r="V74" i="4"/>
  <c r="S74" i="4"/>
  <c r="T15" i="4"/>
  <c r="V15" i="4"/>
  <c r="S15" i="4"/>
  <c r="U15" i="4" s="1"/>
  <c r="S16" i="4"/>
  <c r="U16" i="4" s="1"/>
  <c r="V16" i="4"/>
  <c r="T16" i="4"/>
  <c r="M60" i="1" l="1"/>
  <c r="M59" i="1"/>
  <c r="M58" i="1"/>
  <c r="M57" i="1"/>
  <c r="M56" i="1"/>
  <c r="M55" i="1"/>
  <c r="M54" i="1"/>
  <c r="M53" i="1"/>
  <c r="M52" i="1"/>
  <c r="M51" i="1"/>
  <c r="M50" i="1"/>
  <c r="M49" i="1"/>
  <c r="M48" i="1"/>
  <c r="M47" i="1"/>
  <c r="M46" i="1"/>
  <c r="M45" i="1"/>
  <c r="M44" i="1"/>
  <c r="M43" i="1"/>
  <c r="M42" i="1"/>
  <c r="M41" i="1"/>
  <c r="M40" i="1"/>
  <c r="M39" i="1"/>
  <c r="M38" i="1"/>
  <c r="M37" i="1"/>
  <c r="M36" i="1"/>
  <c r="M35" i="1"/>
  <c r="M34" i="1"/>
  <c r="M33" i="1"/>
  <c r="M32" i="1"/>
  <c r="B18" i="3"/>
  <c r="B15" i="3"/>
  <c r="B13" i="3"/>
  <c r="H80" i="1"/>
  <c r="G80" i="1"/>
  <c r="H79" i="1"/>
  <c r="G79" i="1"/>
  <c r="H78" i="1"/>
  <c r="G78" i="1"/>
  <c r="H77" i="1"/>
  <c r="G77" i="1"/>
  <c r="H76" i="1"/>
  <c r="G76" i="1"/>
  <c r="H75" i="1"/>
  <c r="G75" i="1"/>
  <c r="H74" i="1"/>
  <c r="G74" i="1"/>
  <c r="H73" i="1"/>
  <c r="G73" i="1"/>
  <c r="H72" i="1"/>
  <c r="G72" i="1"/>
  <c r="H71" i="1"/>
  <c r="G71" i="1"/>
  <c r="H70" i="1"/>
  <c r="G70" i="1"/>
  <c r="H69" i="1"/>
  <c r="G69" i="1"/>
  <c r="H68" i="1"/>
  <c r="G68" i="1"/>
  <c r="H67" i="1"/>
  <c r="G67" i="1"/>
  <c r="H66" i="1"/>
  <c r="G66" i="1"/>
  <c r="H65" i="1"/>
  <c r="G65" i="1"/>
  <c r="H64" i="1"/>
  <c r="G64" i="1"/>
  <c r="H63" i="1"/>
  <c r="G63" i="1"/>
  <c r="H62" i="1"/>
  <c r="G62" i="1"/>
  <c r="H61" i="1"/>
  <c r="G61" i="1"/>
  <c r="H60" i="1"/>
  <c r="G60" i="1"/>
  <c r="H59" i="1"/>
  <c r="G59" i="1"/>
  <c r="H58" i="1"/>
  <c r="G58" i="1"/>
  <c r="H57" i="1"/>
  <c r="G57" i="1"/>
  <c r="H56" i="1"/>
  <c r="G56" i="1"/>
  <c r="H55" i="1"/>
  <c r="G55" i="1"/>
  <c r="H54" i="1"/>
  <c r="G54" i="1"/>
  <c r="H53" i="1"/>
  <c r="G53" i="1"/>
  <c r="H52" i="1"/>
  <c r="G52" i="1"/>
  <c r="H51" i="1"/>
  <c r="G51" i="1"/>
  <c r="H50" i="1"/>
  <c r="G50" i="1"/>
  <c r="H49" i="1"/>
  <c r="G49" i="1"/>
  <c r="H48" i="1"/>
  <c r="G48" i="1"/>
  <c r="H47" i="1"/>
  <c r="G47" i="1"/>
  <c r="H46" i="1"/>
  <c r="G46" i="1"/>
  <c r="H45" i="1"/>
  <c r="G45" i="1"/>
  <c r="H44" i="1"/>
  <c r="G44" i="1"/>
  <c r="H43" i="1"/>
  <c r="G43" i="1"/>
  <c r="H42" i="1"/>
  <c r="G42" i="1"/>
  <c r="H41" i="1"/>
  <c r="G41" i="1"/>
  <c r="H40" i="1"/>
  <c r="G40" i="1"/>
  <c r="H39" i="1"/>
  <c r="G39" i="1"/>
  <c r="H38" i="1"/>
  <c r="G38" i="1"/>
  <c r="H37" i="1"/>
  <c r="G37" i="1"/>
  <c r="H36" i="1"/>
  <c r="G36" i="1"/>
  <c r="H35" i="1"/>
  <c r="G35" i="1"/>
  <c r="H34" i="1"/>
  <c r="G34" i="1"/>
  <c r="H33" i="1"/>
  <c r="G33" i="1"/>
  <c r="H32" i="1"/>
  <c r="G32" i="1"/>
  <c r="H31" i="1"/>
  <c r="G31" i="1"/>
  <c r="H30" i="1"/>
  <c r="G30" i="1"/>
  <c r="H29" i="1"/>
  <c r="G29" i="1"/>
  <c r="H28" i="1"/>
  <c r="G28" i="1"/>
  <c r="H27" i="1"/>
  <c r="G27" i="1"/>
  <c r="H26" i="1"/>
  <c r="G26" i="1"/>
  <c r="H25" i="1"/>
  <c r="G25" i="1"/>
  <c r="H24" i="1"/>
  <c r="G24" i="1"/>
  <c r="H23" i="1"/>
  <c r="G23" i="1"/>
  <c r="H22" i="1"/>
  <c r="G22" i="1"/>
  <c r="H21" i="1"/>
  <c r="G21" i="1"/>
  <c r="H20" i="1"/>
  <c r="G20" i="1"/>
  <c r="H19" i="1"/>
  <c r="G19" i="1"/>
  <c r="H18" i="1"/>
  <c r="G18" i="1"/>
  <c r="H17" i="1"/>
  <c r="G17" i="1"/>
  <c r="H16" i="1"/>
  <c r="G16" i="1"/>
  <c r="H15" i="1"/>
  <c r="G15" i="1"/>
  <c r="H14" i="1"/>
  <c r="G14" i="1"/>
  <c r="H13" i="1"/>
  <c r="G13" i="1"/>
  <c r="H12" i="1"/>
  <c r="G12" i="1"/>
  <c r="H11" i="1"/>
  <c r="G11" i="1"/>
  <c r="H10" i="1"/>
  <c r="G10" i="1"/>
  <c r="H9" i="1"/>
  <c r="G9" i="1"/>
  <c r="H8" i="1"/>
  <c r="G8" i="1"/>
  <c r="H7" i="1"/>
  <c r="G7" i="1"/>
  <c r="H6" i="1"/>
  <c r="G6" i="1"/>
  <c r="H5" i="1"/>
  <c r="G5" i="1"/>
  <c r="L80" i="1"/>
  <c r="J80" i="1"/>
  <c r="I80" i="1"/>
  <c r="L79" i="1"/>
  <c r="J79" i="1"/>
  <c r="I79" i="1"/>
  <c r="L78" i="1"/>
  <c r="J78" i="1"/>
  <c r="I78" i="1"/>
  <c r="L77" i="1"/>
  <c r="J77" i="1"/>
  <c r="I77" i="1"/>
  <c r="L76" i="1"/>
  <c r="J76" i="1"/>
  <c r="I76" i="1"/>
  <c r="L75" i="1"/>
  <c r="J75" i="1"/>
  <c r="I75" i="1"/>
  <c r="L74" i="1"/>
  <c r="J74" i="1"/>
  <c r="I74" i="1"/>
  <c r="L73" i="1"/>
  <c r="J73" i="1"/>
  <c r="I73" i="1"/>
  <c r="L72" i="1"/>
  <c r="J72" i="1"/>
  <c r="I72" i="1"/>
  <c r="L71" i="1"/>
  <c r="J71" i="1"/>
  <c r="I71" i="1"/>
  <c r="L70" i="1"/>
  <c r="J70" i="1"/>
  <c r="I70" i="1"/>
  <c r="L69" i="1"/>
  <c r="J69" i="1"/>
  <c r="I69" i="1"/>
  <c r="L68" i="1"/>
  <c r="J68" i="1"/>
  <c r="I68" i="1"/>
  <c r="L67" i="1"/>
  <c r="J67" i="1"/>
  <c r="I67" i="1"/>
  <c r="L66" i="1"/>
  <c r="J66" i="1"/>
  <c r="I66" i="1"/>
  <c r="L65" i="1"/>
  <c r="J65" i="1"/>
  <c r="I65" i="1"/>
  <c r="L64" i="1"/>
  <c r="J64" i="1"/>
  <c r="I64" i="1"/>
  <c r="L63" i="1"/>
  <c r="J63" i="1"/>
  <c r="I63" i="1"/>
  <c r="L62" i="1"/>
  <c r="J62" i="1"/>
  <c r="I62" i="1"/>
  <c r="L61" i="1"/>
  <c r="J61" i="1"/>
  <c r="I61" i="1"/>
  <c r="L60" i="1"/>
  <c r="J60" i="1"/>
  <c r="I60" i="1"/>
  <c r="L59" i="1"/>
  <c r="J59" i="1"/>
  <c r="I59" i="1"/>
  <c r="L58" i="1"/>
  <c r="J58" i="1"/>
  <c r="I58" i="1"/>
  <c r="L57" i="1"/>
  <c r="J57" i="1"/>
  <c r="I57" i="1"/>
  <c r="L56" i="1"/>
  <c r="J56" i="1"/>
  <c r="I56" i="1"/>
  <c r="L55" i="1"/>
  <c r="J55" i="1"/>
  <c r="I55" i="1"/>
  <c r="L54" i="1"/>
  <c r="J54" i="1"/>
  <c r="I54" i="1"/>
  <c r="L53" i="1"/>
  <c r="J53" i="1"/>
  <c r="I53" i="1"/>
  <c r="L52" i="1"/>
  <c r="J52" i="1"/>
  <c r="I52" i="1"/>
  <c r="L51" i="1"/>
  <c r="J51" i="1"/>
  <c r="I51" i="1"/>
  <c r="L50" i="1"/>
  <c r="J50" i="1"/>
  <c r="I50" i="1"/>
  <c r="L49" i="1"/>
  <c r="J49" i="1"/>
  <c r="I49" i="1"/>
  <c r="L48" i="1"/>
  <c r="J48" i="1"/>
  <c r="I48" i="1"/>
  <c r="L47" i="1"/>
  <c r="J47" i="1"/>
  <c r="I47" i="1"/>
  <c r="L46" i="1"/>
  <c r="J46" i="1"/>
  <c r="I46" i="1"/>
  <c r="L45" i="1"/>
  <c r="J45" i="1"/>
  <c r="I45" i="1"/>
  <c r="L44" i="1"/>
  <c r="J44" i="1"/>
  <c r="I44" i="1"/>
  <c r="L43" i="1"/>
  <c r="J43" i="1"/>
  <c r="I43" i="1"/>
  <c r="L42" i="1"/>
  <c r="J42" i="1"/>
  <c r="I42" i="1"/>
  <c r="L41" i="1"/>
  <c r="J41" i="1"/>
  <c r="I41" i="1"/>
  <c r="L40" i="1"/>
  <c r="J40" i="1"/>
  <c r="I40" i="1"/>
  <c r="L39" i="1"/>
  <c r="J39" i="1"/>
  <c r="I39" i="1"/>
  <c r="L38" i="1"/>
  <c r="J38" i="1"/>
  <c r="I38" i="1"/>
  <c r="L37" i="1"/>
  <c r="J37" i="1"/>
  <c r="I37" i="1"/>
  <c r="L36" i="1"/>
  <c r="J36" i="1"/>
  <c r="I36" i="1"/>
  <c r="L35" i="1"/>
  <c r="J35" i="1"/>
  <c r="I35" i="1"/>
  <c r="L34" i="1"/>
  <c r="J34" i="1"/>
  <c r="I34" i="1"/>
  <c r="L33" i="1"/>
  <c r="J33" i="1"/>
  <c r="I33" i="1"/>
  <c r="L32" i="1"/>
  <c r="J32" i="1"/>
  <c r="I32" i="1"/>
  <c r="M31" i="1"/>
  <c r="L31" i="1"/>
  <c r="J31" i="1"/>
  <c r="I31" i="1"/>
  <c r="M30" i="1"/>
  <c r="L30" i="1"/>
  <c r="J30" i="1"/>
  <c r="I30" i="1"/>
  <c r="M29" i="1"/>
  <c r="L29" i="1"/>
  <c r="J29" i="1"/>
  <c r="I29" i="1"/>
  <c r="M28" i="1"/>
  <c r="L28" i="1"/>
  <c r="J28" i="1"/>
  <c r="I28" i="1"/>
  <c r="M27" i="1"/>
  <c r="L27" i="1"/>
  <c r="J27" i="1"/>
  <c r="I27" i="1"/>
  <c r="M26" i="1"/>
  <c r="L26" i="1"/>
  <c r="J26" i="1"/>
  <c r="I26" i="1"/>
  <c r="M25" i="1"/>
  <c r="L25" i="1"/>
  <c r="J25" i="1"/>
  <c r="I25" i="1"/>
  <c r="M24" i="1"/>
  <c r="L24" i="1"/>
  <c r="J24" i="1"/>
  <c r="I24" i="1"/>
  <c r="M23" i="1"/>
  <c r="L23" i="1"/>
  <c r="J23" i="1"/>
  <c r="I23" i="1"/>
  <c r="M22" i="1"/>
  <c r="L22" i="1"/>
  <c r="J22" i="1"/>
  <c r="I22" i="1"/>
  <c r="M21" i="1"/>
  <c r="L21" i="1"/>
  <c r="J21" i="1"/>
  <c r="I21" i="1"/>
  <c r="M20" i="1"/>
  <c r="L20" i="1"/>
  <c r="J20" i="1"/>
  <c r="I20" i="1"/>
  <c r="M19" i="1"/>
  <c r="L19" i="1"/>
  <c r="J19" i="1"/>
  <c r="I19" i="1"/>
  <c r="M18" i="1"/>
  <c r="L18" i="1"/>
  <c r="J18" i="1"/>
  <c r="I18" i="1"/>
  <c r="M17" i="1"/>
  <c r="L17" i="1"/>
  <c r="J17" i="1"/>
  <c r="I17" i="1"/>
  <c r="M16" i="1"/>
  <c r="L16" i="1"/>
  <c r="J16" i="1"/>
  <c r="I16" i="1"/>
  <c r="M15" i="1"/>
  <c r="L15" i="1"/>
  <c r="J15" i="1"/>
  <c r="I15" i="1"/>
  <c r="M14" i="1"/>
  <c r="L14" i="1"/>
  <c r="J14" i="1"/>
  <c r="I14" i="1"/>
  <c r="M13" i="1"/>
  <c r="L13" i="1"/>
  <c r="J13" i="1"/>
  <c r="I13" i="1"/>
  <c r="M12" i="1"/>
  <c r="L12" i="1"/>
  <c r="J12" i="1"/>
  <c r="I12" i="1"/>
  <c r="M11" i="1"/>
  <c r="L11" i="1"/>
  <c r="J11" i="1"/>
  <c r="I11" i="1"/>
  <c r="M10" i="1"/>
  <c r="L10" i="1"/>
  <c r="J10" i="1"/>
  <c r="I10" i="1"/>
  <c r="M9" i="1"/>
  <c r="L9" i="1"/>
  <c r="J9" i="1"/>
  <c r="I9" i="1"/>
  <c r="M8" i="1"/>
  <c r="L8" i="1"/>
  <c r="J8" i="1"/>
  <c r="I8" i="1"/>
  <c r="M7" i="1"/>
  <c r="L7" i="1"/>
  <c r="J7" i="1"/>
  <c r="I7" i="1"/>
  <c r="M6" i="1"/>
  <c r="L6" i="1"/>
  <c r="J6" i="1"/>
  <c r="I6" i="1"/>
  <c r="M5" i="1"/>
  <c r="L5" i="1"/>
  <c r="J5" i="1"/>
  <c r="I5" i="1"/>
  <c r="F80" i="1"/>
  <c r="AC80" i="1" s="1"/>
  <c r="F79" i="1"/>
  <c r="AC79" i="1" s="1"/>
  <c r="F78" i="1"/>
  <c r="AC78" i="1" s="1"/>
  <c r="F77" i="1"/>
  <c r="AC77" i="1" s="1"/>
  <c r="F76" i="1"/>
  <c r="AC76" i="1" s="1"/>
  <c r="F75" i="1"/>
  <c r="AC75" i="1" s="1"/>
  <c r="F74" i="1"/>
  <c r="AC74" i="1" s="1"/>
  <c r="F73" i="1"/>
  <c r="AC73" i="1" s="1"/>
  <c r="F72" i="1"/>
  <c r="AC72" i="1" s="1"/>
  <c r="F71" i="1"/>
  <c r="AC71" i="1" s="1"/>
  <c r="F70" i="1"/>
  <c r="AC70" i="1" s="1"/>
  <c r="F69" i="1"/>
  <c r="AC69" i="1" s="1"/>
  <c r="F68" i="1"/>
  <c r="AC68" i="1" s="1"/>
  <c r="F67" i="1"/>
  <c r="AC67" i="1" s="1"/>
  <c r="F66" i="1"/>
  <c r="AC66" i="1" s="1"/>
  <c r="F65" i="1"/>
  <c r="AC65" i="1" s="1"/>
  <c r="F64" i="1"/>
  <c r="AC64" i="1" s="1"/>
  <c r="F63" i="1"/>
  <c r="AC63" i="1" s="1"/>
  <c r="F62" i="1"/>
  <c r="AC62" i="1" s="1"/>
  <c r="F61" i="1"/>
  <c r="AC61" i="1" s="1"/>
  <c r="F60" i="1"/>
  <c r="AC60" i="1" s="1"/>
  <c r="F59" i="1"/>
  <c r="AC59" i="1" s="1"/>
  <c r="F58" i="1"/>
  <c r="AC58" i="1" s="1"/>
  <c r="F57" i="1"/>
  <c r="AC57" i="1" s="1"/>
  <c r="F56" i="1"/>
  <c r="AC56" i="1" s="1"/>
  <c r="F55" i="1"/>
  <c r="AC55" i="1" s="1"/>
  <c r="F54" i="1"/>
  <c r="AC54" i="1" s="1"/>
  <c r="F53" i="1"/>
  <c r="AC53" i="1" s="1"/>
  <c r="F52" i="1"/>
  <c r="AC52" i="1" s="1"/>
  <c r="F51" i="1"/>
  <c r="AC51" i="1" s="1"/>
  <c r="F50" i="1"/>
  <c r="AC50" i="1" s="1"/>
  <c r="F49" i="1"/>
  <c r="AC49" i="1" s="1"/>
  <c r="F48" i="1"/>
  <c r="AC48" i="1" s="1"/>
  <c r="F47" i="1"/>
  <c r="AC47" i="1" s="1"/>
  <c r="F46" i="1"/>
  <c r="AC46" i="1" s="1"/>
  <c r="F45" i="1"/>
  <c r="AC45" i="1" s="1"/>
  <c r="F44" i="1"/>
  <c r="AC44" i="1" s="1"/>
  <c r="F43" i="1"/>
  <c r="AC43" i="1" s="1"/>
  <c r="F42" i="1"/>
  <c r="AC42" i="1" s="1"/>
  <c r="F41" i="1"/>
  <c r="AC41" i="1" s="1"/>
  <c r="F40" i="1"/>
  <c r="AC40" i="1" s="1"/>
  <c r="F39" i="1"/>
  <c r="AC39" i="1" s="1"/>
  <c r="F38" i="1"/>
  <c r="AC38" i="1" s="1"/>
  <c r="F37" i="1"/>
  <c r="AC37" i="1" s="1"/>
  <c r="F36" i="1"/>
  <c r="AC36" i="1" s="1"/>
  <c r="F35" i="1"/>
  <c r="AC35" i="1" s="1"/>
  <c r="F34" i="1"/>
  <c r="AC34" i="1" s="1"/>
  <c r="F33" i="1"/>
  <c r="AC33" i="1" s="1"/>
  <c r="F32" i="1"/>
  <c r="AC32" i="1" s="1"/>
  <c r="F31" i="1"/>
  <c r="AC31" i="1" s="1"/>
  <c r="F30" i="1"/>
  <c r="AC30" i="1" s="1"/>
  <c r="F29" i="1"/>
  <c r="AC29" i="1" s="1"/>
  <c r="F28" i="1"/>
  <c r="AC28" i="1" s="1"/>
  <c r="F27" i="1"/>
  <c r="AC27" i="1" s="1"/>
  <c r="F26" i="1"/>
  <c r="AC26" i="1" s="1"/>
  <c r="F25" i="1"/>
  <c r="AC25" i="1" s="1"/>
  <c r="F24" i="1"/>
  <c r="AC24" i="1" s="1"/>
  <c r="F23" i="1"/>
  <c r="AC23" i="1" s="1"/>
  <c r="F22" i="1"/>
  <c r="AC22" i="1" s="1"/>
  <c r="F21" i="1"/>
  <c r="AC21" i="1" s="1"/>
  <c r="F20" i="1"/>
  <c r="AC20" i="1" s="1"/>
  <c r="F19" i="1"/>
  <c r="AC19" i="1" s="1"/>
  <c r="F18" i="1"/>
  <c r="AC18" i="1" s="1"/>
  <c r="F17" i="1"/>
  <c r="AC17" i="1" s="1"/>
  <c r="F16" i="1"/>
  <c r="AC16" i="1" s="1"/>
  <c r="F15" i="1"/>
  <c r="AC15" i="1" s="1"/>
  <c r="F14" i="1"/>
  <c r="AC14" i="1" s="1"/>
  <c r="F13" i="1"/>
  <c r="AC13" i="1" s="1"/>
  <c r="F12" i="1"/>
  <c r="AC12" i="1" s="1"/>
  <c r="F11" i="1"/>
  <c r="AC11" i="1" s="1"/>
  <c r="F10" i="1"/>
  <c r="AC10" i="1" s="1"/>
  <c r="F9" i="1"/>
  <c r="AC9" i="1" s="1"/>
  <c r="F8" i="1"/>
  <c r="AC8" i="1" s="1"/>
  <c r="F7" i="1"/>
  <c r="AC7" i="1" s="1"/>
  <c r="F6" i="1"/>
  <c r="W77" i="1"/>
  <c r="T77" i="1"/>
  <c r="W76" i="1"/>
  <c r="T76" i="1"/>
  <c r="W75" i="1"/>
  <c r="T75" i="1"/>
  <c r="W74" i="1"/>
  <c r="T74" i="1"/>
  <c r="W73" i="1"/>
  <c r="T73" i="1"/>
  <c r="W72" i="1"/>
  <c r="T72" i="1"/>
  <c r="W71" i="1"/>
  <c r="T71" i="1"/>
  <c r="W70" i="1"/>
  <c r="T70" i="1"/>
  <c r="W69" i="1"/>
  <c r="T69" i="1"/>
  <c r="W68" i="1"/>
  <c r="T68" i="1"/>
  <c r="W67" i="1"/>
  <c r="T67" i="1"/>
  <c r="W66" i="1"/>
  <c r="T66" i="1"/>
  <c r="W65" i="1"/>
  <c r="T65" i="1"/>
  <c r="W64" i="1"/>
  <c r="T64" i="1"/>
  <c r="W63" i="1"/>
  <c r="T63" i="1"/>
  <c r="W62" i="1"/>
  <c r="T62" i="1"/>
  <c r="W61" i="1"/>
  <c r="T61" i="1"/>
  <c r="W60" i="1"/>
  <c r="T60" i="1"/>
  <c r="W59" i="1"/>
  <c r="T59" i="1"/>
  <c r="W58" i="1"/>
  <c r="T58" i="1"/>
  <c r="W57" i="1"/>
  <c r="T57" i="1"/>
  <c r="W56" i="1"/>
  <c r="T56" i="1"/>
  <c r="W55" i="1"/>
  <c r="T55" i="1"/>
  <c r="W54" i="1"/>
  <c r="T54" i="1"/>
  <c r="W53" i="1"/>
  <c r="T53" i="1"/>
  <c r="W52" i="1"/>
  <c r="T52" i="1"/>
  <c r="W51" i="1"/>
  <c r="T51" i="1"/>
  <c r="W50" i="1"/>
  <c r="T50" i="1"/>
  <c r="W49" i="1"/>
  <c r="T49" i="1"/>
  <c r="W48" i="1"/>
  <c r="T48" i="1"/>
  <c r="W47" i="1"/>
  <c r="T47" i="1"/>
  <c r="W46" i="1"/>
  <c r="T46" i="1"/>
  <c r="W45" i="1"/>
  <c r="T45" i="1"/>
  <c r="W44" i="1"/>
  <c r="T44" i="1"/>
  <c r="W43" i="1"/>
  <c r="T43" i="1"/>
  <c r="W42" i="1"/>
  <c r="T42" i="1"/>
  <c r="W41" i="1"/>
  <c r="T41" i="1"/>
  <c r="W40" i="1"/>
  <c r="T40" i="1"/>
  <c r="W39" i="1"/>
  <c r="T39" i="1"/>
  <c r="W38" i="1"/>
  <c r="T38" i="1"/>
  <c r="W37" i="1"/>
  <c r="T37" i="1"/>
  <c r="W36" i="1"/>
  <c r="T36" i="1"/>
  <c r="W35" i="1"/>
  <c r="T35" i="1"/>
  <c r="W34" i="1"/>
  <c r="T34" i="1"/>
  <c r="W33" i="1"/>
  <c r="T33" i="1"/>
  <c r="W32" i="1"/>
  <c r="T32" i="1"/>
  <c r="W31" i="1"/>
  <c r="T31" i="1"/>
  <c r="W30" i="1"/>
  <c r="T30" i="1"/>
  <c r="W29" i="1"/>
  <c r="T29" i="1"/>
  <c r="W28" i="1"/>
  <c r="T28" i="1"/>
  <c r="W27" i="1"/>
  <c r="T27" i="1"/>
  <c r="W26" i="1"/>
  <c r="T26" i="1"/>
  <c r="W25" i="1"/>
  <c r="T25" i="1"/>
  <c r="W24" i="1"/>
  <c r="T24" i="1"/>
  <c r="W23" i="1"/>
  <c r="T23" i="1"/>
  <c r="W22" i="1"/>
  <c r="T22" i="1"/>
  <c r="W21" i="1"/>
  <c r="T21" i="1"/>
  <c r="W20" i="1"/>
  <c r="T20" i="1"/>
  <c r="W19" i="1"/>
  <c r="T19" i="1"/>
  <c r="W18" i="1"/>
  <c r="T18" i="1"/>
  <c r="W17" i="1"/>
  <c r="T17" i="1"/>
  <c r="W16" i="1"/>
  <c r="T16" i="1"/>
  <c r="W15" i="1"/>
  <c r="T15" i="1"/>
  <c r="W14" i="1"/>
  <c r="T14" i="1"/>
  <c r="W13" i="1"/>
  <c r="T13" i="1"/>
  <c r="W12" i="1"/>
  <c r="T12" i="1"/>
  <c r="W11" i="1"/>
  <c r="T11" i="1"/>
  <c r="W10" i="1"/>
  <c r="T10" i="1"/>
  <c r="W9" i="1"/>
  <c r="T9" i="1"/>
  <c r="W8" i="1"/>
  <c r="T8" i="1"/>
  <c r="W7" i="1"/>
  <c r="T7" i="1"/>
  <c r="W6" i="1"/>
  <c r="T6" i="1"/>
  <c r="W5" i="1"/>
  <c r="T5" i="1"/>
  <c r="AC6" i="1" l="1"/>
  <c r="AC5" i="1"/>
  <c r="AI47" i="4" l="1"/>
  <c r="AI74" i="4"/>
  <c r="AI30" i="4"/>
  <c r="AI37" i="4"/>
  <c r="AI57" i="4"/>
  <c r="AI50" i="4"/>
  <c r="AI46" i="4"/>
  <c r="AI43" i="4"/>
  <c r="AI34" i="4"/>
  <c r="AI56" i="4"/>
  <c r="AI61" i="4"/>
  <c r="AI26" i="4"/>
  <c r="AI75" i="4"/>
  <c r="AI64" i="4"/>
  <c r="AI42" i="4"/>
  <c r="AI35" i="4"/>
  <c r="AI67" i="4"/>
  <c r="AI53" i="4"/>
  <c r="AI33" i="4"/>
  <c r="AI29" i="4"/>
  <c r="AI55" i="4"/>
  <c r="AI62" i="4"/>
  <c r="AI71" i="4"/>
  <c r="AI39" i="4"/>
  <c r="AI51" i="4"/>
  <c r="AI48" i="4"/>
  <c r="AI49" i="4"/>
  <c r="AI44" i="4"/>
  <c r="AI65" i="4"/>
  <c r="AI63" i="4"/>
  <c r="AI36" i="4"/>
  <c r="AI69" i="4"/>
  <c r="AI54" i="4"/>
  <c r="AI28" i="4"/>
  <c r="AI40" i="4"/>
  <c r="AI66" i="4"/>
  <c r="AI59" i="4"/>
  <c r="AI72" i="4"/>
  <c r="AI58" i="4"/>
  <c r="AI25" i="4"/>
  <c r="AI32" i="4"/>
  <c r="AI73" i="4"/>
  <c r="AI52" i="4"/>
  <c r="AI76" i="4"/>
  <c r="AI27" i="4"/>
  <c r="AI31" i="4"/>
  <c r="AI68" i="4"/>
  <c r="AI60" i="4"/>
  <c r="AI45" i="4"/>
  <c r="AI38" i="4"/>
  <c r="AI70" i="4"/>
  <c r="AI77" i="4"/>
  <c r="AI41" i="4"/>
  <c r="AL69" i="4" l="1"/>
  <c r="AM69" i="4" s="1"/>
  <c r="AK69" i="4"/>
  <c r="AL26" i="4"/>
  <c r="AM26" i="4" s="1"/>
  <c r="AK26" i="4"/>
  <c r="AL40" i="4"/>
  <c r="AM40" i="4" s="1"/>
  <c r="AK40" i="4"/>
  <c r="AL49" i="4"/>
  <c r="AM49" i="4" s="1"/>
  <c r="AK49" i="4"/>
  <c r="AL71" i="4"/>
  <c r="AN71" i="4" s="1"/>
  <c r="AK71" i="4"/>
  <c r="AL33" i="4"/>
  <c r="AM33" i="4" s="1"/>
  <c r="AK33" i="4"/>
  <c r="AL42" i="4"/>
  <c r="AM42" i="4" s="1"/>
  <c r="AK42" i="4"/>
  <c r="AL61" i="4"/>
  <c r="AM61" i="4" s="1"/>
  <c r="AK61" i="4"/>
  <c r="AL46" i="4"/>
  <c r="AM46" i="4" s="1"/>
  <c r="AK46" i="4"/>
  <c r="AL30" i="4"/>
  <c r="AM30" i="4" s="1"/>
  <c r="AK30" i="4"/>
  <c r="AL77" i="4"/>
  <c r="AM77" i="4" s="1"/>
  <c r="AK77" i="4"/>
  <c r="AL76" i="4"/>
  <c r="AM76" i="4" s="1"/>
  <c r="AK76" i="4"/>
  <c r="AL66" i="4"/>
  <c r="AM66" i="4" s="1"/>
  <c r="AK66" i="4"/>
  <c r="AL39" i="4"/>
  <c r="AN39" i="4" s="1"/>
  <c r="AK39" i="4"/>
  <c r="AL35" i="4"/>
  <c r="AN35" i="4" s="1"/>
  <c r="AK35" i="4"/>
  <c r="AL43" i="4"/>
  <c r="AN43" i="4" s="1"/>
  <c r="AK43" i="4"/>
  <c r="AL70" i="4"/>
  <c r="AM70" i="4" s="1"/>
  <c r="AK70" i="4"/>
  <c r="AL52" i="4"/>
  <c r="AN52" i="4" s="1"/>
  <c r="AK52" i="4"/>
  <c r="AL36" i="4"/>
  <c r="AM36" i="4" s="1"/>
  <c r="AK36" i="4"/>
  <c r="AL38" i="4"/>
  <c r="AM38" i="4" s="1"/>
  <c r="AK38" i="4"/>
  <c r="AL31" i="4"/>
  <c r="AN31" i="4" s="1"/>
  <c r="AK31" i="4"/>
  <c r="AL73" i="4"/>
  <c r="AM73" i="4" s="1"/>
  <c r="AK73" i="4"/>
  <c r="AL72" i="4"/>
  <c r="AM72" i="4" s="1"/>
  <c r="AK72" i="4"/>
  <c r="AL28" i="4"/>
  <c r="AM28" i="4" s="1"/>
  <c r="AK28" i="4"/>
  <c r="AL63" i="4"/>
  <c r="AN63" i="4" s="1"/>
  <c r="AK63" i="4"/>
  <c r="AL48" i="4"/>
  <c r="AM48" i="4" s="1"/>
  <c r="AK48" i="4"/>
  <c r="AL62" i="4"/>
  <c r="AM62" i="4" s="1"/>
  <c r="AK62" i="4"/>
  <c r="AL53" i="4"/>
  <c r="AM53" i="4" s="1"/>
  <c r="AK53" i="4"/>
  <c r="AL64" i="4"/>
  <c r="AM64" i="4" s="1"/>
  <c r="AK64" i="4"/>
  <c r="AL56" i="4"/>
  <c r="AM56" i="4" s="1"/>
  <c r="AK56" i="4"/>
  <c r="AL50" i="4"/>
  <c r="AN50" i="4" s="1"/>
  <c r="AK50" i="4"/>
  <c r="AL74" i="4"/>
  <c r="AM74" i="4" s="1"/>
  <c r="AK74" i="4"/>
  <c r="AL60" i="4"/>
  <c r="AM60" i="4" s="1"/>
  <c r="AK60" i="4"/>
  <c r="AL25" i="4"/>
  <c r="AM25" i="4" s="1"/>
  <c r="AK25" i="4"/>
  <c r="AL44" i="4"/>
  <c r="AM44" i="4" s="1"/>
  <c r="AK44" i="4"/>
  <c r="AL29" i="4"/>
  <c r="AM29" i="4" s="1"/>
  <c r="AK29" i="4"/>
  <c r="AL37" i="4"/>
  <c r="AM37" i="4" s="1"/>
  <c r="AK37" i="4"/>
  <c r="AL68" i="4"/>
  <c r="AM68" i="4" s="1"/>
  <c r="AK68" i="4"/>
  <c r="AL58" i="4"/>
  <c r="AN58" i="4" s="1"/>
  <c r="AK58" i="4"/>
  <c r="AL41" i="4"/>
  <c r="AM41" i="4" s="1"/>
  <c r="AK41" i="4"/>
  <c r="AL45" i="4"/>
  <c r="AM45" i="4" s="1"/>
  <c r="AK45" i="4"/>
  <c r="AL27" i="4"/>
  <c r="AN27" i="4" s="1"/>
  <c r="AK27" i="4"/>
  <c r="AL32" i="4"/>
  <c r="AM32" i="4" s="1"/>
  <c r="AK32" i="4"/>
  <c r="AL59" i="4"/>
  <c r="AN59" i="4" s="1"/>
  <c r="AK59" i="4"/>
  <c r="AL54" i="4"/>
  <c r="AN54" i="4" s="1"/>
  <c r="AK54" i="4"/>
  <c r="AL65" i="4"/>
  <c r="AM65" i="4" s="1"/>
  <c r="AK65" i="4"/>
  <c r="AL51" i="4"/>
  <c r="AN51" i="4" s="1"/>
  <c r="AK51" i="4"/>
  <c r="AL55" i="4"/>
  <c r="AN55" i="4" s="1"/>
  <c r="AK55" i="4"/>
  <c r="AL67" i="4"/>
  <c r="AM67" i="4" s="1"/>
  <c r="AK67" i="4"/>
  <c r="AL75" i="4"/>
  <c r="AN75" i="4" s="1"/>
  <c r="AK75" i="4"/>
  <c r="AL34" i="4"/>
  <c r="AN34" i="4" s="1"/>
  <c r="AK34" i="4"/>
  <c r="AL57" i="4"/>
  <c r="AM57" i="4" s="1"/>
  <c r="AK57" i="4"/>
  <c r="AL47" i="4"/>
  <c r="AM47" i="4" s="1"/>
  <c r="AK47" i="4"/>
  <c r="AM52" i="4"/>
  <c r="AR60" i="4"/>
  <c r="AJ60" i="4"/>
  <c r="AQ60" i="4"/>
  <c r="AO60" i="4"/>
  <c r="AP60" i="4"/>
  <c r="AQ32" i="4"/>
  <c r="AP32" i="4"/>
  <c r="AJ32" i="4"/>
  <c r="AO32" i="4"/>
  <c r="AR32" i="4"/>
  <c r="AO28" i="4"/>
  <c r="AR28" i="4"/>
  <c r="AJ28" i="4"/>
  <c r="AQ28" i="4"/>
  <c r="AP28" i="4"/>
  <c r="AP36" i="4"/>
  <c r="AR36" i="4"/>
  <c r="AQ36" i="4"/>
  <c r="AO36" i="4"/>
  <c r="AJ36" i="4"/>
  <c r="AQ65" i="4"/>
  <c r="AP65" i="4"/>
  <c r="AR65" i="4"/>
  <c r="AO65" i="4"/>
  <c r="AJ65" i="4"/>
  <c r="AQ51" i="4"/>
  <c r="AJ51" i="4"/>
  <c r="AO51" i="4"/>
  <c r="AP51" i="4"/>
  <c r="AR51" i="4"/>
  <c r="AO55" i="4"/>
  <c r="AP55" i="4"/>
  <c r="AR55" i="4"/>
  <c r="AQ55" i="4"/>
  <c r="AJ55" i="4"/>
  <c r="AR53" i="4"/>
  <c r="AP53" i="4"/>
  <c r="AO53" i="4"/>
  <c r="AJ53" i="4"/>
  <c r="AQ53" i="4"/>
  <c r="AQ64" i="4"/>
  <c r="AJ64" i="4"/>
  <c r="AR64" i="4"/>
  <c r="AO64" i="4"/>
  <c r="AP64" i="4"/>
  <c r="AQ43" i="4"/>
  <c r="AJ43" i="4"/>
  <c r="AO43" i="4"/>
  <c r="AP43" i="4"/>
  <c r="AR43" i="4"/>
  <c r="AQ37" i="4"/>
  <c r="AO37" i="4"/>
  <c r="AJ37" i="4"/>
  <c r="AP37" i="4"/>
  <c r="AR37" i="4"/>
  <c r="AJ70" i="4"/>
  <c r="AR70" i="4"/>
  <c r="AO70" i="4"/>
  <c r="AQ70" i="4"/>
  <c r="AP70" i="4"/>
  <c r="AR68" i="4"/>
  <c r="AQ68" i="4"/>
  <c r="AJ68" i="4"/>
  <c r="AO68" i="4"/>
  <c r="AP68" i="4"/>
  <c r="AR76" i="4"/>
  <c r="AP76" i="4"/>
  <c r="AO76" i="4"/>
  <c r="AQ76" i="4"/>
  <c r="AJ76" i="4"/>
  <c r="AQ25" i="4"/>
  <c r="AJ25" i="4"/>
  <c r="AR25" i="4"/>
  <c r="AP25" i="4"/>
  <c r="AO25" i="4"/>
  <c r="AQ59" i="4"/>
  <c r="AR59" i="4"/>
  <c r="AJ59" i="4"/>
  <c r="AP59" i="4"/>
  <c r="AO59" i="4"/>
  <c r="AJ54" i="4"/>
  <c r="AP54" i="4"/>
  <c r="AO54" i="4"/>
  <c r="AR54" i="4"/>
  <c r="AQ54" i="4"/>
  <c r="AR44" i="4"/>
  <c r="AJ44" i="4"/>
  <c r="AQ44" i="4"/>
  <c r="AO44" i="4"/>
  <c r="AP44" i="4"/>
  <c r="AQ39" i="4"/>
  <c r="AR39" i="4"/>
  <c r="AJ39" i="4"/>
  <c r="AP39" i="4"/>
  <c r="AO39" i="4"/>
  <c r="AQ29" i="4"/>
  <c r="AJ29" i="4"/>
  <c r="AO29" i="4"/>
  <c r="AP29" i="4"/>
  <c r="AR29" i="4"/>
  <c r="AQ67" i="4"/>
  <c r="AR67" i="4"/>
  <c r="AO67" i="4"/>
  <c r="AP67" i="4"/>
  <c r="AJ67" i="4"/>
  <c r="AQ75" i="4"/>
  <c r="AO75" i="4"/>
  <c r="AP75" i="4"/>
  <c r="AR75" i="4"/>
  <c r="AJ75" i="4"/>
  <c r="AR46" i="4"/>
  <c r="AJ46" i="4"/>
  <c r="AO46" i="4"/>
  <c r="AP46" i="4"/>
  <c r="AQ46" i="4"/>
  <c r="AO30" i="4"/>
  <c r="AP30" i="4"/>
  <c r="AR30" i="4"/>
  <c r="AQ30" i="4"/>
  <c r="AJ30" i="4"/>
  <c r="AQ41" i="4"/>
  <c r="AJ41" i="4"/>
  <c r="AO41" i="4"/>
  <c r="AR41" i="4"/>
  <c r="AP41" i="4"/>
  <c r="AP38" i="4"/>
  <c r="AR38" i="4"/>
  <c r="AJ38" i="4"/>
  <c r="AQ38" i="4"/>
  <c r="AO38" i="4"/>
  <c r="AQ31" i="4"/>
  <c r="AJ31" i="4"/>
  <c r="AR31" i="4"/>
  <c r="AO31" i="4"/>
  <c r="AP31" i="4"/>
  <c r="AP52" i="4"/>
  <c r="AO52" i="4"/>
  <c r="AR52" i="4"/>
  <c r="AJ52" i="4"/>
  <c r="AQ52" i="4"/>
  <c r="AR58" i="4"/>
  <c r="AQ58" i="4"/>
  <c r="AO58" i="4"/>
  <c r="AJ58" i="4"/>
  <c r="AP58" i="4"/>
  <c r="AR66" i="4"/>
  <c r="AJ66" i="4"/>
  <c r="AO66" i="4"/>
  <c r="AP66" i="4"/>
  <c r="AQ66" i="4"/>
  <c r="AO69" i="4"/>
  <c r="AR69" i="4"/>
  <c r="AP69" i="4"/>
  <c r="AJ69" i="4"/>
  <c r="AQ69" i="4"/>
  <c r="AQ49" i="4"/>
  <c r="AP49" i="4"/>
  <c r="AJ49" i="4"/>
  <c r="AO49" i="4"/>
  <c r="AR49" i="4"/>
  <c r="AP71" i="4"/>
  <c r="AJ71" i="4"/>
  <c r="AQ71" i="4"/>
  <c r="AO71" i="4"/>
  <c r="AR71" i="4"/>
  <c r="AQ33" i="4"/>
  <c r="AP33" i="4"/>
  <c r="AJ33" i="4"/>
  <c r="AR33" i="4"/>
  <c r="AO33" i="4"/>
  <c r="AR35" i="4"/>
  <c r="AP35" i="4"/>
  <c r="AO35" i="4"/>
  <c r="AJ35" i="4"/>
  <c r="AQ35" i="4"/>
  <c r="AO26" i="4"/>
  <c r="AQ26" i="4"/>
  <c r="AP26" i="4"/>
  <c r="AJ26" i="4"/>
  <c r="AR26" i="4"/>
  <c r="AR56" i="4"/>
  <c r="AQ56" i="4"/>
  <c r="AO56" i="4"/>
  <c r="AJ56" i="4"/>
  <c r="AP56" i="4"/>
  <c r="AQ50" i="4"/>
  <c r="AR50" i="4"/>
  <c r="AP50" i="4"/>
  <c r="AO50" i="4"/>
  <c r="AJ50" i="4"/>
  <c r="AR74" i="4"/>
  <c r="AQ74" i="4"/>
  <c r="AP74" i="4"/>
  <c r="AJ74" i="4"/>
  <c r="AO74" i="4"/>
  <c r="AJ77" i="4"/>
  <c r="AQ77" i="4"/>
  <c r="AR77" i="4"/>
  <c r="AP77" i="4"/>
  <c r="AO77" i="4"/>
  <c r="AR45" i="4"/>
  <c r="AP45" i="4"/>
  <c r="AO45" i="4"/>
  <c r="AJ45" i="4"/>
  <c r="AQ45" i="4"/>
  <c r="AQ27" i="4"/>
  <c r="AR27" i="4"/>
  <c r="AJ27" i="4"/>
  <c r="AP27" i="4"/>
  <c r="AO27" i="4"/>
  <c r="AQ73" i="4"/>
  <c r="AO73" i="4"/>
  <c r="AP73" i="4"/>
  <c r="AR73" i="4"/>
  <c r="AJ73" i="4"/>
  <c r="AQ72" i="4"/>
  <c r="AR72" i="4"/>
  <c r="AO72" i="4"/>
  <c r="AP72" i="4"/>
  <c r="AJ72" i="4"/>
  <c r="AP40" i="4"/>
  <c r="AO40" i="4"/>
  <c r="AJ40" i="4"/>
  <c r="AQ40" i="4"/>
  <c r="AR40" i="4"/>
  <c r="AP63" i="4"/>
  <c r="AQ63" i="4"/>
  <c r="AO63" i="4"/>
  <c r="AJ63" i="4"/>
  <c r="AR63" i="4"/>
  <c r="AQ48" i="4"/>
  <c r="AR48" i="4"/>
  <c r="AJ48" i="4"/>
  <c r="AO48" i="4"/>
  <c r="AP48" i="4"/>
  <c r="AO62" i="4"/>
  <c r="AQ62" i="4"/>
  <c r="AP62" i="4"/>
  <c r="AJ62" i="4"/>
  <c r="AR62" i="4"/>
  <c r="AR42" i="4"/>
  <c r="AO42" i="4"/>
  <c r="AP42" i="4"/>
  <c r="AQ42" i="4"/>
  <c r="AJ42" i="4"/>
  <c r="AO61" i="4"/>
  <c r="AR61" i="4"/>
  <c r="AP61" i="4"/>
  <c r="AJ61" i="4"/>
  <c r="AQ61" i="4"/>
  <c r="AQ34" i="4"/>
  <c r="AR34" i="4"/>
  <c r="AJ34" i="4"/>
  <c r="AP34" i="4"/>
  <c r="AO34" i="4"/>
  <c r="AQ57" i="4"/>
  <c r="AR57" i="4"/>
  <c r="AJ57" i="4"/>
  <c r="AO57" i="4"/>
  <c r="AP57" i="4"/>
  <c r="AO47" i="4"/>
  <c r="AJ47" i="4"/>
  <c r="AQ47" i="4"/>
  <c r="AP47" i="4"/>
  <c r="AR47" i="4"/>
  <c r="AN70" i="4" l="1"/>
  <c r="AN69" i="4"/>
  <c r="AN46" i="4"/>
  <c r="AM35" i="4"/>
  <c r="AN40" i="4"/>
  <c r="AN32" i="4"/>
  <c r="AM54" i="4"/>
  <c r="AN77" i="4"/>
  <c r="AN44" i="4"/>
  <c r="AN62" i="4"/>
  <c r="AM51" i="4"/>
  <c r="AN36" i="4"/>
  <c r="AM50" i="4"/>
  <c r="AM34" i="4"/>
  <c r="AN42" i="4"/>
  <c r="AM71" i="4"/>
  <c r="AM63" i="4"/>
  <c r="AN72" i="4"/>
  <c r="AM58" i="4"/>
  <c r="AN60" i="4"/>
  <c r="AN45" i="4"/>
  <c r="AN37" i="4"/>
  <c r="AN66" i="4"/>
  <c r="AN64" i="4"/>
  <c r="AM31" i="4"/>
  <c r="AN47" i="4"/>
  <c r="AN67" i="4"/>
  <c r="AN30" i="4"/>
  <c r="AN68" i="4"/>
  <c r="AN33" i="4"/>
  <c r="AN26" i="4"/>
  <c r="AN29" i="4"/>
  <c r="AN76" i="4"/>
  <c r="AN57" i="4"/>
  <c r="AM75" i="4"/>
  <c r="AM55" i="4"/>
  <c r="AN65" i="4"/>
  <c r="AM59" i="4"/>
  <c r="AM27" i="4"/>
  <c r="AN41" i="4"/>
  <c r="AN61" i="4"/>
  <c r="AN49" i="4"/>
  <c r="AM43" i="4"/>
  <c r="AM39" i="4"/>
  <c r="AN25" i="4"/>
  <c r="AN74" i="4"/>
  <c r="AN56" i="4"/>
  <c r="AN53" i="4"/>
  <c r="AN48" i="4"/>
  <c r="AN28" i="4"/>
  <c r="AN73" i="4"/>
  <c r="AN38" i="4"/>
  <c r="F81" i="1"/>
  <c r="AB5" i="1"/>
  <c r="W82" i="1"/>
  <c r="AB81" i="1"/>
  <c r="X81" i="1"/>
  <c r="Y82" i="1" l="1"/>
  <c r="Z82" i="1"/>
  <c r="W83" i="1"/>
  <c r="Y83" i="1" s="1"/>
  <c r="F82" i="1"/>
  <c r="AB6" i="1"/>
  <c r="AB82" i="1"/>
  <c r="X82" i="1"/>
  <c r="AB7" i="1" l="1"/>
  <c r="AB83" i="1"/>
  <c r="W84" i="1"/>
  <c r="Y84" i="1" s="1"/>
  <c r="X83" i="1"/>
  <c r="F83" i="1"/>
  <c r="AG7" i="1" s="1"/>
  <c r="AG6" i="1"/>
  <c r="W85" i="1" l="1"/>
  <c r="F84" i="1"/>
  <c r="AG8" i="1" s="1"/>
  <c r="AB8" i="1"/>
  <c r="X84" i="1"/>
  <c r="AB84" i="1"/>
  <c r="F85" i="1" l="1"/>
  <c r="AG9" i="1" s="1"/>
  <c r="Y85" i="1"/>
  <c r="W86" i="1"/>
  <c r="X85" i="1"/>
  <c r="AB9" i="1"/>
  <c r="AB85" i="1"/>
  <c r="W87" i="1" l="1"/>
  <c r="Y87" i="1" s="1"/>
  <c r="Y86" i="1"/>
  <c r="AB86" i="1"/>
  <c r="AB10" i="1"/>
  <c r="F86" i="1"/>
  <c r="AG10" i="1" s="1"/>
  <c r="X86" i="1"/>
  <c r="AB87" i="1" l="1"/>
  <c r="X87" i="1"/>
  <c r="W88" i="1"/>
  <c r="Y88" i="1" s="1"/>
  <c r="F87" i="1"/>
  <c r="AG11" i="1" s="1"/>
  <c r="AB11" i="1"/>
  <c r="W89" i="1" l="1"/>
  <c r="Y89" i="1" s="1"/>
  <c r="F88" i="1"/>
  <c r="AG12" i="1" s="1"/>
  <c r="AB88" i="1"/>
  <c r="AB12" i="1"/>
  <c r="X88" i="1"/>
  <c r="X89" i="1" l="1"/>
  <c r="AB13" i="1"/>
  <c r="W90" i="1"/>
  <c r="Y90" i="1" s="1"/>
  <c r="F89" i="1"/>
  <c r="AG13" i="1" s="1"/>
  <c r="AB89" i="1"/>
  <c r="W91" i="1" l="1"/>
  <c r="Y91" i="1" s="1"/>
  <c r="X90" i="1"/>
  <c r="F90" i="1"/>
  <c r="AG14" i="1" s="1"/>
  <c r="AB14" i="1"/>
  <c r="AB90" i="1"/>
  <c r="F91" i="1" l="1"/>
  <c r="AG15" i="1" s="1"/>
  <c r="W92" i="1"/>
  <c r="Y92" i="1" s="1"/>
  <c r="X91" i="1"/>
  <c r="AB91" i="1"/>
  <c r="AB15" i="1"/>
  <c r="W93" i="1" l="1"/>
  <c r="X93" i="1" s="1"/>
  <c r="AB92" i="1"/>
  <c r="F92" i="1"/>
  <c r="AG16" i="1" s="1"/>
  <c r="X92" i="1"/>
  <c r="AB16" i="1"/>
  <c r="AB17" i="1"/>
  <c r="AB93" i="1"/>
  <c r="Y93" i="1"/>
  <c r="W94" i="1"/>
  <c r="F93" i="1" l="1"/>
  <c r="AG17" i="1" s="1"/>
  <c r="Y94" i="1"/>
  <c r="F94" i="1"/>
  <c r="AG18" i="1" s="1"/>
  <c r="AB94" i="1"/>
  <c r="X94" i="1"/>
  <c r="AB18" i="1"/>
  <c r="W95" i="1"/>
  <c r="Y95" i="1" l="1"/>
  <c r="F95" i="1"/>
  <c r="AG19" i="1" s="1"/>
  <c r="X95" i="1"/>
  <c r="AB95" i="1"/>
  <c r="AB19" i="1"/>
  <c r="W96" i="1"/>
  <c r="W97" i="1" l="1"/>
  <c r="Y96" i="1"/>
  <c r="X96" i="1"/>
  <c r="AB20" i="1"/>
  <c r="AB96" i="1"/>
  <c r="F96" i="1"/>
  <c r="AG20" i="1" s="1"/>
  <c r="Y97" i="1" l="1"/>
  <c r="F97" i="1"/>
  <c r="AG21" i="1" s="1"/>
  <c r="AB21" i="1"/>
  <c r="X97" i="1"/>
  <c r="AB97" i="1"/>
  <c r="W98" i="1"/>
  <c r="Y98" i="1" l="1"/>
  <c r="AB98" i="1"/>
  <c r="X98" i="1"/>
  <c r="F98" i="1"/>
  <c r="AG22" i="1" s="1"/>
  <c r="W99" i="1"/>
  <c r="AB22" i="1"/>
  <c r="Y99" i="1" l="1"/>
  <c r="F99" i="1"/>
  <c r="AG23" i="1" s="1"/>
  <c r="AB99" i="1"/>
  <c r="X99" i="1"/>
  <c r="AB23" i="1"/>
  <c r="W100" i="1"/>
  <c r="Y100" i="1" l="1"/>
  <c r="AB100" i="1"/>
  <c r="AB24" i="1"/>
  <c r="F100" i="1"/>
  <c r="AG24" i="1" s="1"/>
  <c r="X100" i="1"/>
  <c r="W101" i="1"/>
  <c r="W102" i="1" s="1"/>
  <c r="Y102" i="1" l="1"/>
  <c r="F102" i="1"/>
  <c r="AG26" i="1" s="1"/>
  <c r="X102" i="1"/>
  <c r="AB102" i="1"/>
  <c r="AB26" i="1"/>
  <c r="Y101" i="1"/>
  <c r="X101" i="1"/>
  <c r="F101" i="1"/>
  <c r="AG25" i="1" s="1"/>
  <c r="AB25" i="1"/>
  <c r="AB101" i="1"/>
  <c r="W103" i="1"/>
  <c r="Y103" i="1" s="1"/>
  <c r="W104" i="1" l="1"/>
  <c r="Y104" i="1" s="1"/>
  <c r="F103" i="1"/>
  <c r="AG27" i="1" s="1"/>
  <c r="AB103" i="1"/>
  <c r="X103" i="1"/>
  <c r="AB27" i="1"/>
  <c r="W105" i="1" l="1"/>
  <c r="Y105" i="1" s="1"/>
  <c r="F104" i="1"/>
  <c r="AG28" i="1" s="1"/>
  <c r="AB104" i="1"/>
  <c r="AB28" i="1"/>
  <c r="X104" i="1"/>
  <c r="F105" i="1"/>
  <c r="AG29" i="1" s="1"/>
  <c r="AB29" i="1"/>
  <c r="X105" i="1"/>
  <c r="AB105" i="1"/>
  <c r="W106" i="1" l="1"/>
  <c r="Y106" i="1" s="1"/>
  <c r="W107" i="1"/>
  <c r="Y107" i="1" s="1"/>
  <c r="X106" i="1" l="1"/>
  <c r="F106" i="1"/>
  <c r="AG30" i="1" s="1"/>
  <c r="AB30" i="1"/>
  <c r="AB106" i="1"/>
  <c r="AB107" i="1"/>
  <c r="X107" i="1"/>
  <c r="F107" i="1"/>
  <c r="AG31" i="1" s="1"/>
  <c r="AB31" i="1"/>
  <c r="W108" i="1"/>
  <c r="Y108" i="1" s="1"/>
  <c r="AB108" i="1" l="1"/>
  <c r="X108" i="1"/>
  <c r="AB32" i="1"/>
  <c r="F108" i="1"/>
  <c r="AG32" i="1" s="1"/>
  <c r="W109" i="1"/>
  <c r="Y109" i="1" s="1"/>
  <c r="AB109" i="1" l="1"/>
  <c r="X109" i="1"/>
  <c r="AB33" i="1"/>
  <c r="F109" i="1"/>
  <c r="AG33" i="1" s="1"/>
  <c r="W110" i="1"/>
  <c r="Y110" i="1" s="1"/>
  <c r="AB110" i="1" l="1"/>
  <c r="F110" i="1"/>
  <c r="AG34" i="1" s="1"/>
  <c r="AB34" i="1"/>
  <c r="X110" i="1"/>
  <c r="W111" i="1"/>
  <c r="Y111" i="1" s="1"/>
  <c r="AB35" i="1" l="1"/>
  <c r="F111" i="1"/>
  <c r="AG35" i="1" s="1"/>
  <c r="AB111" i="1"/>
  <c r="X111" i="1"/>
  <c r="W112" i="1"/>
  <c r="Y112" i="1" s="1"/>
  <c r="AB112" i="1" l="1"/>
  <c r="F112" i="1"/>
  <c r="AG36" i="1" s="1"/>
  <c r="AB36" i="1"/>
  <c r="X112" i="1"/>
  <c r="W113" i="1"/>
  <c r="Y113" i="1" s="1"/>
  <c r="AB37" i="1" l="1"/>
  <c r="F113" i="1"/>
  <c r="AG37" i="1" s="1"/>
  <c r="X113" i="1"/>
  <c r="AB113" i="1"/>
  <c r="W114" i="1"/>
  <c r="Y114" i="1" s="1"/>
  <c r="F114" i="1" l="1"/>
  <c r="AG38" i="1" s="1"/>
  <c r="AB38" i="1"/>
  <c r="X114" i="1"/>
  <c r="AB114" i="1"/>
  <c r="W115" i="1"/>
  <c r="Y115" i="1" s="1"/>
  <c r="AB115" i="1" l="1"/>
  <c r="AB39" i="1"/>
  <c r="X115" i="1"/>
  <c r="F115" i="1"/>
  <c r="AG39" i="1" s="1"/>
  <c r="W116" i="1"/>
  <c r="Y116" i="1" s="1"/>
  <c r="AB116" i="1" l="1"/>
  <c r="X116" i="1"/>
  <c r="AB40" i="1"/>
  <c r="F116" i="1"/>
  <c r="AG40" i="1" s="1"/>
  <c r="W117" i="1"/>
  <c r="Y117" i="1" s="1"/>
  <c r="F117" i="1" l="1"/>
  <c r="AG41" i="1" s="1"/>
  <c r="AB117" i="1"/>
  <c r="X117" i="1"/>
  <c r="AB41" i="1"/>
  <c r="W118" i="1"/>
  <c r="Y118" i="1" s="1"/>
  <c r="F118" i="1" l="1"/>
  <c r="AG42" i="1" s="1"/>
  <c r="AB118" i="1"/>
  <c r="X118" i="1"/>
  <c r="AB42" i="1"/>
  <c r="W119" i="1"/>
  <c r="Y119" i="1" s="1"/>
  <c r="F119" i="1" l="1"/>
  <c r="AG43" i="1" s="1"/>
  <c r="X119" i="1"/>
  <c r="AB119" i="1"/>
  <c r="AB43" i="1"/>
  <c r="W120" i="1"/>
  <c r="Y120" i="1" s="1"/>
  <c r="F120" i="1" l="1"/>
  <c r="AG44" i="1" s="1"/>
  <c r="AB44" i="1"/>
  <c r="X120" i="1"/>
  <c r="AB120" i="1"/>
  <c r="W121" i="1"/>
  <c r="Y121" i="1" s="1"/>
  <c r="F121" i="1" l="1"/>
  <c r="AG45" i="1" s="1"/>
  <c r="AB45" i="1"/>
  <c r="AB121" i="1"/>
  <c r="X121" i="1"/>
  <c r="W122" i="1"/>
  <c r="Y122" i="1" s="1"/>
  <c r="AB122" i="1" l="1"/>
  <c r="X122" i="1"/>
  <c r="AB46" i="1"/>
  <c r="F122" i="1"/>
  <c r="AG46" i="1" s="1"/>
  <c r="W123" i="1"/>
  <c r="Y123" i="1" s="1"/>
  <c r="AB123" i="1" l="1"/>
  <c r="X123" i="1"/>
  <c r="F123" i="1"/>
  <c r="AG47" i="1" s="1"/>
  <c r="AB47" i="1"/>
  <c r="W124" i="1"/>
  <c r="Y124" i="1" s="1"/>
  <c r="AB48" i="1" l="1"/>
  <c r="X124" i="1"/>
  <c r="AB124" i="1"/>
  <c r="F124" i="1"/>
  <c r="AG48" i="1" s="1"/>
  <c r="W125" i="1"/>
  <c r="Y125" i="1" s="1"/>
  <c r="AB125" i="1" l="1"/>
  <c r="X125" i="1"/>
  <c r="AB49" i="1"/>
  <c r="F125" i="1"/>
  <c r="AG49" i="1" s="1"/>
  <c r="W126" i="1"/>
  <c r="Y126" i="1" s="1"/>
  <c r="AB126" i="1" l="1"/>
  <c r="F126" i="1"/>
  <c r="AG50" i="1" s="1"/>
  <c r="AB50" i="1"/>
  <c r="X126" i="1"/>
  <c r="W127" i="1"/>
  <c r="Y127" i="1" s="1"/>
  <c r="AB127" i="1" l="1"/>
  <c r="AB51" i="1"/>
  <c r="F127" i="1"/>
  <c r="AG51" i="1" s="1"/>
  <c r="X127" i="1"/>
  <c r="W128" i="1"/>
  <c r="Y128" i="1" s="1"/>
  <c r="F128" i="1" l="1"/>
  <c r="AG52" i="1" s="1"/>
  <c r="AB128" i="1"/>
  <c r="AB52" i="1"/>
  <c r="X128" i="1"/>
  <c r="W129" i="1"/>
  <c r="Y129" i="1" s="1"/>
  <c r="F129" i="1" l="1"/>
  <c r="AG53" i="1" s="1"/>
  <c r="AB129" i="1"/>
  <c r="X129" i="1"/>
  <c r="AB53" i="1"/>
  <c r="W130" i="1"/>
  <c r="Y130" i="1" s="1"/>
  <c r="F130" i="1" l="1"/>
  <c r="AG54" i="1" s="1"/>
  <c r="AB130" i="1"/>
  <c r="X130" i="1"/>
  <c r="AB54" i="1"/>
  <c r="W131" i="1"/>
  <c r="Y131" i="1" s="1"/>
  <c r="F131" i="1" l="1"/>
  <c r="AG55" i="1" s="1"/>
  <c r="AB55" i="1"/>
  <c r="AB131" i="1"/>
  <c r="X131" i="1"/>
  <c r="W132" i="1"/>
  <c r="Y132" i="1" s="1"/>
  <c r="F132" i="1" l="1"/>
  <c r="AG56" i="1" s="1"/>
  <c r="AB132" i="1"/>
  <c r="X132" i="1"/>
  <c r="AB56" i="1"/>
  <c r="W133" i="1"/>
  <c r="Y133" i="1" s="1"/>
  <c r="AB133" i="1" l="1"/>
  <c r="X133" i="1"/>
  <c r="F133" i="1"/>
  <c r="AG57" i="1" s="1"/>
  <c r="AB57" i="1"/>
  <c r="W134" i="1"/>
  <c r="Y134" i="1" s="1"/>
  <c r="F134" i="1" l="1"/>
  <c r="AG58" i="1" s="1"/>
  <c r="AB134" i="1"/>
  <c r="X134" i="1"/>
  <c r="AB58" i="1"/>
  <c r="W135" i="1"/>
  <c r="Y135" i="1" s="1"/>
  <c r="F135" i="1" l="1"/>
  <c r="AG59" i="1" s="1"/>
  <c r="AB135" i="1"/>
  <c r="X135" i="1"/>
  <c r="AB59" i="1"/>
  <c r="W136" i="1"/>
  <c r="Y136" i="1" s="1"/>
  <c r="AB60" i="1" l="1"/>
  <c r="F136" i="1"/>
  <c r="AG60" i="1" s="1"/>
  <c r="X136" i="1"/>
  <c r="AB136" i="1"/>
  <c r="W137" i="1"/>
  <c r="Y137" i="1" s="1"/>
  <c r="AB61" i="1" l="1"/>
  <c r="X137" i="1"/>
  <c r="AB137" i="1"/>
  <c r="F137" i="1"/>
  <c r="AG61" i="1" s="1"/>
  <c r="W138" i="1"/>
  <c r="Y138" i="1" s="1"/>
  <c r="AB138" i="1" l="1"/>
  <c r="X138" i="1"/>
  <c r="AB62" i="1"/>
  <c r="F138" i="1"/>
  <c r="AG62" i="1" s="1"/>
  <c r="W139" i="1"/>
  <c r="Y139" i="1" s="1"/>
  <c r="AB139" i="1" l="1"/>
  <c r="X139" i="1"/>
  <c r="AB63" i="1"/>
  <c r="F139" i="1"/>
  <c r="AG63" i="1" s="1"/>
  <c r="W140" i="1"/>
  <c r="Y140" i="1" s="1"/>
  <c r="F140" i="1" l="1"/>
  <c r="AG64" i="1" s="1"/>
  <c r="AB140" i="1"/>
  <c r="X140" i="1"/>
  <c r="AB64" i="1"/>
  <c r="W141" i="1"/>
  <c r="Y141" i="1" s="1"/>
  <c r="AB65" i="1" l="1"/>
  <c r="F141" i="1"/>
  <c r="AG65" i="1" s="1"/>
  <c r="AB141" i="1"/>
  <c r="X141" i="1"/>
  <c r="W142" i="1"/>
  <c r="Y142" i="1" s="1"/>
  <c r="AB66" i="1" l="1"/>
  <c r="F142" i="1"/>
  <c r="AG66" i="1" s="1"/>
  <c r="AB142" i="1"/>
  <c r="X142" i="1"/>
  <c r="W143" i="1"/>
  <c r="Y143" i="1" s="1"/>
  <c r="AB67" i="1" l="1"/>
  <c r="F143" i="1"/>
  <c r="AG67" i="1" s="1"/>
  <c r="AB143" i="1"/>
  <c r="X143" i="1"/>
  <c r="W144" i="1"/>
  <c r="Y144" i="1" s="1"/>
  <c r="AB144" i="1" l="1"/>
  <c r="X144" i="1"/>
  <c r="AB68" i="1"/>
  <c r="F144" i="1"/>
  <c r="AG68" i="1" s="1"/>
  <c r="W145" i="1"/>
  <c r="Y145" i="1" s="1"/>
  <c r="AB69" i="1" l="1"/>
  <c r="AB145" i="1"/>
  <c r="F145" i="1"/>
  <c r="AG69" i="1" s="1"/>
  <c r="X145" i="1"/>
  <c r="W146" i="1"/>
  <c r="Y146" i="1" s="1"/>
  <c r="F146" i="1" l="1"/>
  <c r="AG70" i="1" s="1"/>
  <c r="AB70" i="1"/>
  <c r="X146" i="1"/>
  <c r="AB146" i="1"/>
  <c r="W147" i="1"/>
  <c r="Y147" i="1" s="1"/>
  <c r="F147" i="1" l="1"/>
  <c r="AG71" i="1" s="1"/>
  <c r="AB71" i="1"/>
  <c r="X147" i="1"/>
  <c r="AB147" i="1"/>
  <c r="W148" i="1"/>
  <c r="Y148" i="1" s="1"/>
  <c r="AB72" i="1" l="1"/>
  <c r="X148" i="1"/>
  <c r="AB148" i="1"/>
  <c r="F148" i="1"/>
  <c r="AG72" i="1" s="1"/>
  <c r="W149" i="1"/>
  <c r="Y149" i="1" s="1"/>
  <c r="F149" i="1" l="1"/>
  <c r="AG73" i="1" s="1"/>
  <c r="AB73" i="1"/>
  <c r="X149" i="1"/>
  <c r="AB149" i="1"/>
  <c r="W150" i="1"/>
  <c r="Y150" i="1" s="1"/>
  <c r="F150" i="1" l="1"/>
  <c r="AG74" i="1" s="1"/>
  <c r="AB74" i="1"/>
  <c r="X150" i="1"/>
  <c r="AB150" i="1"/>
  <c r="W151" i="1"/>
  <c r="Y151" i="1" s="1"/>
  <c r="F151" i="1" l="1"/>
  <c r="AG75" i="1" s="1"/>
  <c r="AB75" i="1"/>
  <c r="X151" i="1"/>
  <c r="AB151" i="1"/>
  <c r="W152" i="1"/>
  <c r="Y152" i="1" s="1"/>
  <c r="AB152" i="1" l="1"/>
  <c r="X152" i="1"/>
  <c r="AB76" i="1"/>
  <c r="F152" i="1"/>
  <c r="AG76" i="1" s="1"/>
  <c r="W153" i="1"/>
  <c r="Y153" i="1" s="1"/>
  <c r="F153" i="1" l="1"/>
  <c r="AG77" i="1" s="1"/>
  <c r="AB77" i="1"/>
  <c r="X153" i="1"/>
  <c r="AB153" i="1"/>
  <c r="W154" i="1"/>
  <c r="Y154" i="1" s="1"/>
  <c r="AB78" i="1" l="1"/>
  <c r="X154" i="1"/>
  <c r="AB154" i="1"/>
  <c r="F154" i="1"/>
  <c r="AG78" i="1" s="1"/>
  <c r="W155" i="1"/>
  <c r="Y155" i="1" s="1"/>
  <c r="AB155" i="1" l="1"/>
  <c r="X155" i="1"/>
  <c r="AB79" i="1"/>
  <c r="F155" i="1"/>
  <c r="AG79" i="1" s="1"/>
  <c r="W156" i="1"/>
  <c r="Y156" i="1" s="1"/>
  <c r="F156" i="1" l="1"/>
  <c r="X156" i="1"/>
  <c r="AB156" i="1"/>
  <c r="E46" i="5" s="1"/>
  <c r="K46" i="5" s="1"/>
  <c r="AB80" i="1"/>
  <c r="AG80" i="1" l="1"/>
  <c r="AI17" i="4"/>
  <c r="AI16" i="4"/>
  <c r="AI20" i="4"/>
  <c r="AI23" i="4"/>
  <c r="AI18" i="4"/>
  <c r="AI21" i="4"/>
  <c r="AI22" i="4"/>
  <c r="AI24" i="4"/>
  <c r="AI15" i="4"/>
  <c r="AK15" i="4" s="1"/>
  <c r="AI19" i="4"/>
  <c r="AL22" i="4" l="1"/>
  <c r="AN22" i="4" s="1"/>
  <c r="AK22" i="4"/>
  <c r="AL19" i="4"/>
  <c r="AN19" i="4" s="1"/>
  <c r="AK19" i="4"/>
  <c r="AL21" i="4"/>
  <c r="AM21" i="4" s="1"/>
  <c r="AK21" i="4"/>
  <c r="AL16" i="4"/>
  <c r="AM16" i="4" s="1"/>
  <c r="AK16" i="4"/>
  <c r="AL20" i="4"/>
  <c r="AM20" i="4" s="1"/>
  <c r="AK20" i="4"/>
  <c r="AL18" i="4"/>
  <c r="AM18" i="4" s="1"/>
  <c r="AK18" i="4"/>
  <c r="AL17" i="4"/>
  <c r="AN17" i="4" s="1"/>
  <c r="AK17" i="4"/>
  <c r="AL24" i="4"/>
  <c r="AM24" i="4" s="1"/>
  <c r="AK24" i="4"/>
  <c r="AL23" i="4"/>
  <c r="AM23" i="4" s="1"/>
  <c r="AK23" i="4"/>
  <c r="AO19" i="4"/>
  <c r="AQ19" i="4"/>
  <c r="AJ19" i="4"/>
  <c r="AR19" i="4"/>
  <c r="AP19" i="4"/>
  <c r="AO21" i="4"/>
  <c r="AJ21" i="4"/>
  <c r="AR21" i="4"/>
  <c r="AQ21" i="4"/>
  <c r="AP21" i="4"/>
  <c r="AQ16" i="4"/>
  <c r="AJ16" i="4"/>
  <c r="AO16" i="4"/>
  <c r="AP16" i="4"/>
  <c r="AR16" i="4"/>
  <c r="AJ20" i="4"/>
  <c r="AR20" i="4"/>
  <c r="AQ20" i="4"/>
  <c r="AO20" i="4"/>
  <c r="AP20" i="4"/>
  <c r="AQ18" i="4"/>
  <c r="AO18" i="4"/>
  <c r="AP18" i="4"/>
  <c r="AJ18" i="4"/>
  <c r="AR18" i="4"/>
  <c r="AO17" i="4"/>
  <c r="AQ17" i="4"/>
  <c r="AP17" i="4"/>
  <c r="AJ17" i="4"/>
  <c r="AR17" i="4"/>
  <c r="AO22" i="4"/>
  <c r="AQ22" i="4"/>
  <c r="AJ22" i="4"/>
  <c r="AR22" i="4"/>
  <c r="AP22" i="4"/>
  <c r="AO15" i="4"/>
  <c r="AJ15" i="4"/>
  <c r="AL15" i="4" s="1"/>
  <c r="AQ15" i="4"/>
  <c r="AP15" i="4"/>
  <c r="AR24" i="4"/>
  <c r="AP24" i="4"/>
  <c r="AQ24" i="4"/>
  <c r="AJ24" i="4"/>
  <c r="AO24" i="4"/>
  <c r="AJ23" i="4"/>
  <c r="AP23" i="4"/>
  <c r="AQ23" i="4"/>
  <c r="AO23" i="4"/>
  <c r="AR23" i="4"/>
  <c r="AM22" i="4" l="1"/>
  <c r="AN23" i="4"/>
  <c r="AN20" i="4"/>
  <c r="AM17" i="4"/>
  <c r="AN21" i="4"/>
  <c r="AN24" i="4"/>
  <c r="AN18" i="4"/>
  <c r="AN16" i="4"/>
  <c r="AM19" i="4"/>
  <c r="AN15" i="4"/>
  <c r="AM15" i="4"/>
  <c r="AR15" i="4"/>
  <c r="U81" i="1"/>
  <c r="AA81" i="1"/>
  <c r="AA5" i="1"/>
  <c r="E81" i="1"/>
  <c r="E82" i="1" l="1"/>
  <c r="U82" i="1"/>
  <c r="AA6" i="1"/>
  <c r="T83" i="1" s="1"/>
  <c r="AA82" i="1"/>
  <c r="V83" i="1" l="1"/>
  <c r="Z83" i="1"/>
  <c r="T84" i="1"/>
  <c r="U83" i="1"/>
  <c r="AA7" i="1"/>
  <c r="AA83" i="1"/>
  <c r="E83" i="1"/>
  <c r="AF6" i="1"/>
  <c r="V84" i="1" l="1"/>
  <c r="Z84" i="1"/>
  <c r="T85" i="1"/>
  <c r="AA84" i="1"/>
  <c r="U84" i="1"/>
  <c r="AA8" i="1"/>
  <c r="E84" i="1"/>
  <c r="AF7" i="1"/>
  <c r="V85" i="1" l="1"/>
  <c r="Z85" i="1"/>
  <c r="T86" i="1"/>
  <c r="E85" i="1"/>
  <c r="AF9" i="1" s="1"/>
  <c r="AA9" i="1"/>
  <c r="U85" i="1"/>
  <c r="AA85" i="1"/>
  <c r="AF8" i="1"/>
  <c r="T87" i="1" l="1"/>
  <c r="U87" i="1" s="1"/>
  <c r="Z86" i="1"/>
  <c r="V86" i="1"/>
  <c r="U86" i="1"/>
  <c r="AA86" i="1"/>
  <c r="AA10" i="1"/>
  <c r="E86" i="1"/>
  <c r="AF10" i="1" s="1"/>
  <c r="T88" i="1"/>
  <c r="V88" i="1" l="1"/>
  <c r="Z88" i="1"/>
  <c r="E87" i="1"/>
  <c r="AF11" i="1" s="1"/>
  <c r="AA87" i="1"/>
  <c r="AA11" i="1"/>
  <c r="V87" i="1"/>
  <c r="Z87" i="1"/>
  <c r="T89" i="1"/>
  <c r="Z89" i="1" s="1"/>
  <c r="AA12" i="1"/>
  <c r="U88" i="1"/>
  <c r="AA88" i="1"/>
  <c r="E88" i="1"/>
  <c r="AF12" i="1" s="1"/>
  <c r="V89" i="1" l="1"/>
  <c r="T90" i="1"/>
  <c r="Z90" i="1" s="1"/>
  <c r="AA13" i="1"/>
  <c r="U89" i="1"/>
  <c r="E89" i="1"/>
  <c r="AF13" i="1" s="1"/>
  <c r="AA89" i="1"/>
  <c r="T91" i="1" l="1"/>
  <c r="V90" i="1"/>
  <c r="E90" i="1"/>
  <c r="AF14" i="1" s="1"/>
  <c r="AA14" i="1"/>
  <c r="AA90" i="1"/>
  <c r="U90" i="1"/>
  <c r="V91" i="1" l="1"/>
  <c r="Z91" i="1"/>
  <c r="T92" i="1"/>
  <c r="AA15" i="1"/>
  <c r="U91" i="1"/>
  <c r="AA91" i="1"/>
  <c r="E91" i="1"/>
  <c r="AF15" i="1" s="1"/>
  <c r="T93" i="1"/>
  <c r="Z93" i="1" s="1"/>
  <c r="AA92" i="1" l="1"/>
  <c r="Z92" i="1"/>
  <c r="E92" i="1"/>
  <c r="AF16" i="1" s="1"/>
  <c r="AA16" i="1"/>
  <c r="U92" i="1"/>
  <c r="V92" i="1"/>
  <c r="V93" i="1"/>
  <c r="AA17" i="1"/>
  <c r="AA93" i="1"/>
  <c r="E93" i="1"/>
  <c r="AF17" i="1" s="1"/>
  <c r="U93" i="1"/>
  <c r="T94" i="1"/>
  <c r="Z94" i="1" s="1"/>
  <c r="V94" i="1" l="1"/>
  <c r="AA94" i="1"/>
  <c r="T95" i="1"/>
  <c r="AA18" i="1"/>
  <c r="E94" i="1"/>
  <c r="AF18" i="1" s="1"/>
  <c r="U94" i="1"/>
  <c r="V95" i="1" l="1"/>
  <c r="Z95" i="1"/>
  <c r="T96" i="1"/>
  <c r="AA95" i="1"/>
  <c r="U95" i="1"/>
  <c r="AA19" i="1"/>
  <c r="E95" i="1"/>
  <c r="AF19" i="1" s="1"/>
  <c r="V96" i="1" l="1"/>
  <c r="Z96" i="1"/>
  <c r="U96" i="1"/>
  <c r="T97" i="1"/>
  <c r="Z97" i="1" s="1"/>
  <c r="E96" i="1"/>
  <c r="AF20" i="1" s="1"/>
  <c r="AA96" i="1"/>
  <c r="AA20" i="1"/>
  <c r="T98" i="1" l="1"/>
  <c r="V97" i="1"/>
  <c r="U97" i="1"/>
  <c r="E97" i="1"/>
  <c r="AF21" i="1" s="1"/>
  <c r="AA21" i="1"/>
  <c r="AA97" i="1"/>
  <c r="V98" i="1" l="1"/>
  <c r="Z98" i="1"/>
  <c r="T99" i="1"/>
  <c r="AA22" i="1"/>
  <c r="U98" i="1"/>
  <c r="AA98" i="1"/>
  <c r="E98" i="1"/>
  <c r="AF22" i="1" s="1"/>
  <c r="T100" i="1" l="1"/>
  <c r="AA24" i="1" s="1"/>
  <c r="Z99" i="1"/>
  <c r="E99" i="1"/>
  <c r="AF23" i="1" s="1"/>
  <c r="AA23" i="1"/>
  <c r="AA99" i="1"/>
  <c r="V99" i="1"/>
  <c r="T101" i="1"/>
  <c r="U99" i="1"/>
  <c r="U100" i="1"/>
  <c r="E100" i="1" l="1"/>
  <c r="AF24" i="1" s="1"/>
  <c r="V100" i="1"/>
  <c r="AA25" i="1"/>
  <c r="Z101" i="1"/>
  <c r="AA100" i="1"/>
  <c r="Z100" i="1"/>
  <c r="U101" i="1"/>
  <c r="AA101" i="1"/>
  <c r="V101" i="1"/>
  <c r="T102" i="1"/>
  <c r="E101" i="1"/>
  <c r="AF25" i="1" s="1"/>
  <c r="AA26" i="1" l="1"/>
  <c r="Z102" i="1"/>
  <c r="V102" i="1"/>
  <c r="T103" i="1"/>
  <c r="U102" i="1"/>
  <c r="E102" i="1"/>
  <c r="AF26" i="1" s="1"/>
  <c r="AA102" i="1"/>
  <c r="AA103" i="1" l="1"/>
  <c r="Z103" i="1"/>
  <c r="T104" i="1"/>
  <c r="V103" i="1"/>
  <c r="U103" i="1"/>
  <c r="E103" i="1"/>
  <c r="AF27" i="1" s="1"/>
  <c r="AA27" i="1"/>
  <c r="U104" i="1" l="1"/>
  <c r="Z104" i="1"/>
  <c r="T105" i="1"/>
  <c r="AA104" i="1"/>
  <c r="V104" i="1"/>
  <c r="AA28" i="1"/>
  <c r="E104" i="1"/>
  <c r="AF28" i="1" s="1"/>
  <c r="T106" i="1"/>
  <c r="Z106" i="1" s="1"/>
  <c r="U105" i="1" l="1"/>
  <c r="Z105" i="1"/>
  <c r="AA29" i="1"/>
  <c r="E105" i="1"/>
  <c r="AF29" i="1" s="1"/>
  <c r="AA105" i="1"/>
  <c r="V105" i="1"/>
  <c r="V106" i="1"/>
  <c r="E106" i="1"/>
  <c r="AF30" i="1" s="1"/>
  <c r="AA30" i="1"/>
  <c r="AA106" i="1"/>
  <c r="U106" i="1"/>
  <c r="T107" i="1"/>
  <c r="Z107" i="1" s="1"/>
  <c r="V107" i="1" l="1"/>
  <c r="AA107" i="1"/>
  <c r="AA31" i="1"/>
  <c r="E107" i="1"/>
  <c r="AF31" i="1" s="1"/>
  <c r="U107" i="1"/>
  <c r="T108" i="1"/>
  <c r="Z108" i="1" s="1"/>
  <c r="V108" i="1" l="1"/>
  <c r="AA108" i="1"/>
  <c r="U108" i="1"/>
  <c r="E108" i="1"/>
  <c r="AF32" i="1" s="1"/>
  <c r="AA32" i="1"/>
  <c r="T109" i="1"/>
  <c r="Z109" i="1" s="1"/>
  <c r="V109" i="1" l="1"/>
  <c r="AA33" i="1"/>
  <c r="AA109" i="1"/>
  <c r="U109" i="1"/>
  <c r="E109" i="1"/>
  <c r="AF33" i="1" s="1"/>
  <c r="T110" i="1"/>
  <c r="Z110" i="1" s="1"/>
  <c r="V110" i="1" l="1"/>
  <c r="AA110" i="1"/>
  <c r="U110" i="1"/>
  <c r="E110" i="1"/>
  <c r="AF34" i="1" s="1"/>
  <c r="AA34" i="1"/>
  <c r="T111" i="1"/>
  <c r="Z111" i="1" s="1"/>
  <c r="V111" i="1" l="1"/>
  <c r="AA35" i="1"/>
  <c r="U111" i="1"/>
  <c r="AA111" i="1"/>
  <c r="E111" i="1"/>
  <c r="AF35" i="1" s="1"/>
  <c r="T112" i="1"/>
  <c r="Z112" i="1" s="1"/>
  <c r="V112" i="1" l="1"/>
  <c r="U112" i="1"/>
  <c r="E112" i="1"/>
  <c r="AF36" i="1" s="1"/>
  <c r="AA112" i="1"/>
  <c r="AA36" i="1"/>
  <c r="T113" i="1"/>
  <c r="Z113" i="1" s="1"/>
  <c r="V113" i="1" l="1"/>
  <c r="E113" i="1"/>
  <c r="AF37" i="1" s="1"/>
  <c r="AA113" i="1"/>
  <c r="AA37" i="1"/>
  <c r="U113" i="1"/>
  <c r="T114" i="1"/>
  <c r="Z114" i="1" s="1"/>
  <c r="V114" i="1" l="1"/>
  <c r="AA114" i="1"/>
  <c r="AA38" i="1"/>
  <c r="E114" i="1"/>
  <c r="AF38" i="1" s="1"/>
  <c r="U114" i="1"/>
  <c r="T115" i="1"/>
  <c r="Z115" i="1" s="1"/>
  <c r="V115" i="1" l="1"/>
  <c r="AA39" i="1"/>
  <c r="AA115" i="1"/>
  <c r="U115" i="1"/>
  <c r="E115" i="1"/>
  <c r="AF39" i="1" s="1"/>
  <c r="T116" i="1"/>
  <c r="Z116" i="1" s="1"/>
  <c r="V116" i="1" l="1"/>
  <c r="E116" i="1"/>
  <c r="AF40" i="1" s="1"/>
  <c r="AA40" i="1"/>
  <c r="U116" i="1"/>
  <c r="AA116" i="1"/>
  <c r="T117" i="1"/>
  <c r="Z117" i="1" s="1"/>
  <c r="V117" i="1" l="1"/>
  <c r="E117" i="1"/>
  <c r="AF41" i="1" s="1"/>
  <c r="U117" i="1"/>
  <c r="AA41" i="1"/>
  <c r="AA117" i="1"/>
  <c r="T118" i="1"/>
  <c r="Z118" i="1" s="1"/>
  <c r="V118" i="1" l="1"/>
  <c r="AA42" i="1"/>
  <c r="U118" i="1"/>
  <c r="AA118" i="1"/>
  <c r="E118" i="1"/>
  <c r="AF42" i="1" s="1"/>
  <c r="T119" i="1"/>
  <c r="Z119" i="1" s="1"/>
  <c r="V119" i="1" l="1"/>
  <c r="U119" i="1"/>
  <c r="AA43" i="1"/>
  <c r="AA119" i="1"/>
  <c r="E119" i="1"/>
  <c r="AF43" i="1" s="1"/>
  <c r="T120" i="1"/>
  <c r="Z120" i="1" s="1"/>
  <c r="V120" i="1" l="1"/>
  <c r="E120" i="1"/>
  <c r="AF44" i="1" s="1"/>
  <c r="AA120" i="1"/>
  <c r="U120" i="1"/>
  <c r="AA44" i="1"/>
  <c r="T121" i="1"/>
  <c r="Z121" i="1" s="1"/>
  <c r="V121" i="1" l="1"/>
  <c r="AA45" i="1"/>
  <c r="E121" i="1"/>
  <c r="AF45" i="1" s="1"/>
  <c r="U121" i="1"/>
  <c r="AA121" i="1"/>
  <c r="T122" i="1"/>
  <c r="Z122" i="1" s="1"/>
  <c r="V122" i="1" l="1"/>
  <c r="E122" i="1"/>
  <c r="AF46" i="1" s="1"/>
  <c r="AA46" i="1"/>
  <c r="AA122" i="1"/>
  <c r="U122" i="1"/>
  <c r="T123" i="1"/>
  <c r="Z123" i="1" s="1"/>
  <c r="V123" i="1" l="1"/>
  <c r="U123" i="1"/>
  <c r="AA47" i="1"/>
  <c r="AA123" i="1"/>
  <c r="E123" i="1"/>
  <c r="AF47" i="1" s="1"/>
  <c r="T124" i="1"/>
  <c r="Z124" i="1" s="1"/>
  <c r="V124" i="1" l="1"/>
  <c r="E124" i="1"/>
  <c r="AF48" i="1" s="1"/>
  <c r="AA48" i="1"/>
  <c r="U124" i="1"/>
  <c r="AA124" i="1"/>
  <c r="T125" i="1"/>
  <c r="Z125" i="1" s="1"/>
  <c r="V125" i="1" l="1"/>
  <c r="E125" i="1"/>
  <c r="AF49" i="1" s="1"/>
  <c r="U125" i="1"/>
  <c r="AA49" i="1"/>
  <c r="AA125" i="1"/>
  <c r="T126" i="1"/>
  <c r="Z126" i="1" s="1"/>
  <c r="V126" i="1" l="1"/>
  <c r="AA126" i="1"/>
  <c r="E126" i="1"/>
  <c r="AF50" i="1" s="1"/>
  <c r="U126" i="1"/>
  <c r="AA50" i="1"/>
  <c r="T127" i="1"/>
  <c r="Z127" i="1" s="1"/>
  <c r="V127" i="1" l="1"/>
  <c r="AA127" i="1"/>
  <c r="AA51" i="1"/>
  <c r="U127" i="1"/>
  <c r="E127" i="1"/>
  <c r="AF51" i="1" s="1"/>
  <c r="T128" i="1"/>
  <c r="Z128" i="1" s="1"/>
  <c r="V128" i="1" l="1"/>
  <c r="AA52" i="1"/>
  <c r="AA128" i="1"/>
  <c r="E128" i="1"/>
  <c r="AF52" i="1" s="1"/>
  <c r="U128" i="1"/>
  <c r="T129" i="1"/>
  <c r="Z129" i="1" s="1"/>
  <c r="V129" i="1" l="1"/>
  <c r="AA53" i="1"/>
  <c r="U129" i="1"/>
  <c r="AA129" i="1"/>
  <c r="E129" i="1"/>
  <c r="AF53" i="1" s="1"/>
  <c r="T130" i="1"/>
  <c r="Z130" i="1" s="1"/>
  <c r="V130" i="1" l="1"/>
  <c r="E130" i="1"/>
  <c r="AF54" i="1" s="1"/>
  <c r="AA54" i="1"/>
  <c r="U130" i="1"/>
  <c r="AA130" i="1"/>
  <c r="T131" i="1"/>
  <c r="Z131" i="1" s="1"/>
  <c r="V131" i="1" l="1"/>
  <c r="AA55" i="1"/>
  <c r="AA131" i="1"/>
  <c r="U131" i="1"/>
  <c r="E131" i="1"/>
  <c r="AF55" i="1" s="1"/>
  <c r="T132" i="1"/>
  <c r="Z132" i="1" s="1"/>
  <c r="V132" i="1" l="1"/>
  <c r="E132" i="1"/>
  <c r="AF56" i="1" s="1"/>
  <c r="AA132" i="1"/>
  <c r="U132" i="1"/>
  <c r="AA56" i="1"/>
  <c r="T133" i="1"/>
  <c r="Z133" i="1" s="1"/>
  <c r="V133" i="1" l="1"/>
  <c r="E133" i="1"/>
  <c r="AF57" i="1" s="1"/>
  <c r="AA57" i="1"/>
  <c r="U133" i="1"/>
  <c r="AA133" i="1"/>
  <c r="T134" i="1"/>
  <c r="Z134" i="1" s="1"/>
  <c r="V134" i="1" l="1"/>
  <c r="U134" i="1"/>
  <c r="AA58" i="1"/>
  <c r="E134" i="1"/>
  <c r="AF58" i="1" s="1"/>
  <c r="AA134" i="1"/>
  <c r="T135" i="1"/>
  <c r="Z135" i="1" s="1"/>
  <c r="V135" i="1" l="1"/>
  <c r="AA135" i="1"/>
  <c r="U135" i="1"/>
  <c r="E135" i="1"/>
  <c r="AF59" i="1" s="1"/>
  <c r="AA59" i="1"/>
  <c r="T136" i="1"/>
  <c r="Z136" i="1" s="1"/>
  <c r="V136" i="1" l="1"/>
  <c r="AA136" i="1"/>
  <c r="U136" i="1"/>
  <c r="E136" i="1"/>
  <c r="AF60" i="1" s="1"/>
  <c r="AA60" i="1"/>
  <c r="T137" i="1"/>
  <c r="Z137" i="1" s="1"/>
  <c r="V137" i="1" l="1"/>
  <c r="AA137" i="1"/>
  <c r="AA61" i="1"/>
  <c r="E137" i="1"/>
  <c r="AF61" i="1" s="1"/>
  <c r="U137" i="1"/>
  <c r="T138" i="1"/>
  <c r="Z138" i="1" s="1"/>
  <c r="V138" i="1" l="1"/>
  <c r="U138" i="1"/>
  <c r="E138" i="1"/>
  <c r="AF62" i="1" s="1"/>
  <c r="AA62" i="1"/>
  <c r="AA138" i="1"/>
  <c r="T139" i="1"/>
  <c r="Z139" i="1" s="1"/>
  <c r="V139" i="1" l="1"/>
  <c r="AA63" i="1"/>
  <c r="U139" i="1"/>
  <c r="AA139" i="1"/>
  <c r="E139" i="1"/>
  <c r="AF63" i="1" s="1"/>
  <c r="T140" i="1"/>
  <c r="Z140" i="1" s="1"/>
  <c r="V140" i="1" l="1"/>
  <c r="AA64" i="1"/>
  <c r="AA140" i="1"/>
  <c r="U140" i="1"/>
  <c r="E140" i="1"/>
  <c r="AF64" i="1" s="1"/>
  <c r="T141" i="1"/>
  <c r="Z141" i="1" s="1"/>
  <c r="V141" i="1" l="1"/>
  <c r="AA65" i="1"/>
  <c r="U141" i="1"/>
  <c r="AA141" i="1"/>
  <c r="E141" i="1"/>
  <c r="AF65" i="1" s="1"/>
  <c r="T142" i="1"/>
  <c r="Z142" i="1" s="1"/>
  <c r="V142" i="1" l="1"/>
  <c r="AA142" i="1"/>
  <c r="U142" i="1"/>
  <c r="AA66" i="1"/>
  <c r="E142" i="1"/>
  <c r="AF66" i="1" s="1"/>
  <c r="T143" i="1"/>
  <c r="Z143" i="1" s="1"/>
  <c r="V143" i="1" l="1"/>
  <c r="AA143" i="1"/>
  <c r="AA67" i="1"/>
  <c r="E143" i="1"/>
  <c r="AF67" i="1" s="1"/>
  <c r="U143" i="1"/>
  <c r="T144" i="1"/>
  <c r="Z144" i="1" s="1"/>
  <c r="V144" i="1" l="1"/>
  <c r="E144" i="1"/>
  <c r="AF68" i="1" s="1"/>
  <c r="AA144" i="1"/>
  <c r="U144" i="1"/>
  <c r="AA68" i="1"/>
  <c r="T145" i="1"/>
  <c r="Z145" i="1" s="1"/>
  <c r="V145" i="1" l="1"/>
  <c r="E145" i="1"/>
  <c r="AF69" i="1" s="1"/>
  <c r="U145" i="1"/>
  <c r="AA145" i="1"/>
  <c r="AA69" i="1"/>
  <c r="T146" i="1"/>
  <c r="Z146" i="1" s="1"/>
  <c r="V146" i="1" l="1"/>
  <c r="U146" i="1"/>
  <c r="E146" i="1"/>
  <c r="AF70" i="1" s="1"/>
  <c r="AA146" i="1"/>
  <c r="AA70" i="1"/>
  <c r="T147" i="1"/>
  <c r="Z147" i="1" s="1"/>
  <c r="V147" i="1" l="1"/>
  <c r="U147" i="1"/>
  <c r="E147" i="1"/>
  <c r="AF71" i="1" s="1"/>
  <c r="AA147" i="1"/>
  <c r="AA71" i="1"/>
  <c r="T148" i="1"/>
  <c r="Z148" i="1" s="1"/>
  <c r="V148" i="1" l="1"/>
  <c r="E148" i="1"/>
  <c r="AF72" i="1" s="1"/>
  <c r="AA72" i="1"/>
  <c r="U148" i="1"/>
  <c r="AA148" i="1"/>
  <c r="T149" i="1"/>
  <c r="Z149" i="1" s="1"/>
  <c r="V149" i="1" l="1"/>
  <c r="AA73" i="1"/>
  <c r="E149" i="1"/>
  <c r="AF73" i="1" s="1"/>
  <c r="AA149" i="1"/>
  <c r="U149" i="1"/>
  <c r="T150" i="1"/>
  <c r="Z150" i="1" s="1"/>
  <c r="V150" i="1" l="1"/>
  <c r="AA150" i="1"/>
  <c r="E150" i="1"/>
  <c r="AF74" i="1" s="1"/>
  <c r="AA74" i="1"/>
  <c r="U150" i="1"/>
  <c r="T151" i="1"/>
  <c r="Z151" i="1" s="1"/>
  <c r="V151" i="1" l="1"/>
  <c r="AA75" i="1"/>
  <c r="E151" i="1"/>
  <c r="AF75" i="1" s="1"/>
  <c r="U151" i="1"/>
  <c r="AA151" i="1"/>
  <c r="T152" i="1"/>
  <c r="Z152" i="1" s="1"/>
  <c r="V152" i="1" l="1"/>
  <c r="AA152" i="1"/>
  <c r="AA76" i="1"/>
  <c r="E152" i="1"/>
  <c r="AF76" i="1" s="1"/>
  <c r="U152" i="1"/>
  <c r="T153" i="1"/>
  <c r="Z153" i="1" s="1"/>
  <c r="V153" i="1" l="1"/>
  <c r="E153" i="1"/>
  <c r="AF77" i="1" s="1"/>
  <c r="AA77" i="1"/>
  <c r="AA153" i="1"/>
  <c r="U153" i="1"/>
  <c r="T154" i="1"/>
  <c r="Z154" i="1" s="1"/>
  <c r="V154" i="1" l="1"/>
  <c r="E154" i="1"/>
  <c r="AF78" i="1" s="1"/>
  <c r="AA154" i="1"/>
  <c r="U154" i="1"/>
  <c r="AA78" i="1"/>
  <c r="T155" i="1"/>
  <c r="Z155" i="1" s="1"/>
  <c r="V155" i="1" l="1"/>
  <c r="AA155" i="1"/>
  <c r="AA79" i="1"/>
  <c r="U155" i="1"/>
  <c r="E155" i="1"/>
  <c r="AF79" i="1" s="1"/>
  <c r="T156" i="1"/>
  <c r="V156" i="1" l="1"/>
  <c r="Z156" i="1"/>
  <c r="A139" i="1"/>
  <c r="A90" i="1"/>
  <c r="A122" i="1"/>
  <c r="A143" i="1"/>
  <c r="A138" i="1"/>
  <c r="A121" i="1"/>
  <c r="A93" i="1"/>
  <c r="A100" i="1"/>
  <c r="A125" i="1"/>
  <c r="A120" i="1"/>
  <c r="A111" i="1"/>
  <c r="A144" i="1"/>
  <c r="A102" i="1"/>
  <c r="A154" i="1"/>
  <c r="A124" i="1"/>
  <c r="A140" i="1"/>
  <c r="A116" i="1"/>
  <c r="A123" i="1"/>
  <c r="A117" i="1"/>
  <c r="A133" i="1"/>
  <c r="A84" i="1"/>
  <c r="A83" i="1"/>
  <c r="A146" i="1"/>
  <c r="A112" i="1"/>
  <c r="A142" i="1"/>
  <c r="A150" i="1"/>
  <c r="A82" i="1"/>
  <c r="A101" i="1"/>
  <c r="A148" i="1"/>
  <c r="A81" i="1"/>
  <c r="A135" i="1"/>
  <c r="A147" i="1"/>
  <c r="A89" i="1"/>
  <c r="A152" i="1"/>
  <c r="A91" i="1"/>
  <c r="A85" i="1"/>
  <c r="A95" i="1"/>
  <c r="A109" i="1"/>
  <c r="A134" i="1"/>
  <c r="A130" i="1"/>
  <c r="A94" i="1"/>
  <c r="A119" i="1"/>
  <c r="A98" i="1"/>
  <c r="A103" i="1"/>
  <c r="A153" i="1"/>
  <c r="A132" i="1"/>
  <c r="A107" i="1"/>
  <c r="A127" i="1"/>
  <c r="A87" i="1"/>
  <c r="A137" i="1"/>
  <c r="A151" i="1"/>
  <c r="A88" i="1"/>
  <c r="A128" i="1"/>
  <c r="A110" i="1"/>
  <c r="A99" i="1"/>
  <c r="A97" i="1"/>
  <c r="A115" i="1"/>
  <c r="A114" i="1"/>
  <c r="A155" i="1"/>
  <c r="A149" i="1"/>
  <c r="A126" i="1"/>
  <c r="A141" i="1"/>
  <c r="A86" i="1"/>
  <c r="A108" i="1"/>
  <c r="A136" i="1"/>
  <c r="A145" i="1"/>
  <c r="A92" i="1"/>
  <c r="A106" i="1"/>
  <c r="A113" i="1"/>
  <c r="A131" i="1"/>
  <c r="A105" i="1"/>
  <c r="A104" i="1"/>
  <c r="A156" i="1"/>
  <c r="A118" i="1"/>
  <c r="A96" i="1"/>
  <c r="A129" i="1"/>
  <c r="AA156" i="1"/>
  <c r="AA80" i="1"/>
  <c r="E156" i="1"/>
  <c r="U156" i="1"/>
  <c r="G2" i="1" l="1"/>
  <c r="E45" i="5"/>
  <c r="AF80" i="1"/>
  <c r="X46" i="4"/>
  <c r="X77" i="4"/>
  <c r="X28" i="4"/>
  <c r="X26" i="4"/>
  <c r="X74" i="4"/>
  <c r="X34" i="4"/>
  <c r="X19" i="4"/>
  <c r="X64" i="4"/>
  <c r="X73" i="4"/>
  <c r="X41" i="4"/>
  <c r="X22" i="4"/>
  <c r="X35" i="4"/>
  <c r="X25" i="4"/>
  <c r="X37" i="4"/>
  <c r="X58" i="4"/>
  <c r="X17" i="4"/>
  <c r="X60" i="4"/>
  <c r="X63" i="4"/>
  <c r="X56" i="4"/>
  <c r="X33" i="4"/>
  <c r="X50" i="4"/>
  <c r="X62" i="4"/>
  <c r="X43" i="4"/>
  <c r="X65" i="4"/>
  <c r="X29" i="4"/>
  <c r="X45" i="4"/>
  <c r="X42" i="4"/>
  <c r="X30" i="4"/>
  <c r="X54" i="4"/>
  <c r="X67" i="4"/>
  <c r="X21" i="4"/>
  <c r="X52" i="4"/>
  <c r="X57" i="4"/>
  <c r="X51" i="4"/>
  <c r="X44" i="4"/>
  <c r="X38" i="4"/>
  <c r="X59" i="4"/>
  <c r="X49" i="4"/>
  <c r="X39" i="4"/>
  <c r="X76" i="4"/>
  <c r="X72" i="4"/>
  <c r="X18" i="4"/>
  <c r="X70" i="4"/>
  <c r="X48" i="4"/>
  <c r="X75" i="4"/>
  <c r="X69" i="4"/>
  <c r="X66" i="4"/>
  <c r="X31" i="4"/>
  <c r="X61" i="4"/>
  <c r="X20" i="4"/>
  <c r="X53" i="4"/>
  <c r="X23" i="4"/>
  <c r="X16" i="4"/>
  <c r="X68" i="4"/>
  <c r="X32" i="4"/>
  <c r="X36" i="4"/>
  <c r="X55" i="4"/>
  <c r="X71" i="4"/>
  <c r="X40" i="4"/>
  <c r="X24" i="4"/>
  <c r="X27" i="4"/>
  <c r="X15" i="4"/>
  <c r="Z15" i="4" s="1"/>
  <c r="X47" i="4"/>
  <c r="AA69" i="4" l="1"/>
  <c r="Z69" i="4"/>
  <c r="AA63" i="4"/>
  <c r="AB63" i="4" s="1"/>
  <c r="Z63" i="4"/>
  <c r="AA55" i="4"/>
  <c r="AB55" i="4" s="1"/>
  <c r="Z55" i="4"/>
  <c r="AA75" i="4"/>
  <c r="AC75" i="4" s="1"/>
  <c r="Z75" i="4"/>
  <c r="AA57" i="4"/>
  <c r="AB57" i="4" s="1"/>
  <c r="Z57" i="4"/>
  <c r="AA54" i="4"/>
  <c r="AC54" i="4" s="1"/>
  <c r="Z54" i="4"/>
  <c r="AA29" i="4"/>
  <c r="AB29" i="4" s="1"/>
  <c r="Z29" i="4"/>
  <c r="AA50" i="4"/>
  <c r="AC50" i="4" s="1"/>
  <c r="Z50" i="4"/>
  <c r="AA60" i="4"/>
  <c r="AC60" i="4" s="1"/>
  <c r="Z60" i="4"/>
  <c r="AA73" i="4"/>
  <c r="AB73" i="4" s="1"/>
  <c r="Z73" i="4"/>
  <c r="AA74" i="4"/>
  <c r="AB74" i="4" s="1"/>
  <c r="Z74" i="4"/>
  <c r="AA46" i="4"/>
  <c r="AC46" i="4" s="1"/>
  <c r="Z46" i="4"/>
  <c r="AA71" i="4"/>
  <c r="AC71" i="4" s="1"/>
  <c r="Z71" i="4"/>
  <c r="AA20" i="4"/>
  <c r="AC20" i="4" s="1"/>
  <c r="Z20" i="4"/>
  <c r="AA49" i="4"/>
  <c r="AC49" i="4" s="1"/>
  <c r="Z49" i="4"/>
  <c r="AA62" i="4"/>
  <c r="AB62" i="4" s="1"/>
  <c r="Z62" i="4"/>
  <c r="AA41" i="4"/>
  <c r="AC41" i="4" s="1"/>
  <c r="Z41" i="4"/>
  <c r="AA77" i="4"/>
  <c r="AB77" i="4" s="1"/>
  <c r="Z77" i="4"/>
  <c r="AA16" i="4"/>
  <c r="AB16" i="4" s="1"/>
  <c r="Z16" i="4"/>
  <c r="AA61" i="4"/>
  <c r="AB61" i="4" s="1"/>
  <c r="Z61" i="4"/>
  <c r="AA72" i="4"/>
  <c r="AC72" i="4" s="1"/>
  <c r="Z72" i="4"/>
  <c r="AA59" i="4"/>
  <c r="AC59" i="4" s="1"/>
  <c r="Z59" i="4"/>
  <c r="AA24" i="4"/>
  <c r="AB24" i="4" s="1"/>
  <c r="Z24" i="4"/>
  <c r="AA36" i="4"/>
  <c r="AB36" i="4" s="1"/>
  <c r="Z36" i="4"/>
  <c r="AA23" i="4"/>
  <c r="AB23" i="4" s="1"/>
  <c r="Z23" i="4"/>
  <c r="AA31" i="4"/>
  <c r="AB31" i="4" s="1"/>
  <c r="Z31" i="4"/>
  <c r="AA48" i="4"/>
  <c r="AB48" i="4" s="1"/>
  <c r="Z48" i="4"/>
  <c r="AA76" i="4"/>
  <c r="AB76" i="4" s="1"/>
  <c r="Z76" i="4"/>
  <c r="AA38" i="4"/>
  <c r="AB38" i="4" s="1"/>
  <c r="Z38" i="4"/>
  <c r="AA52" i="4"/>
  <c r="AB52" i="4" s="1"/>
  <c r="Z52" i="4"/>
  <c r="AA30" i="4"/>
  <c r="AB30" i="4" s="1"/>
  <c r="Z30" i="4"/>
  <c r="AA65" i="4"/>
  <c r="AB65" i="4" s="1"/>
  <c r="Z65" i="4"/>
  <c r="AA33" i="4"/>
  <c r="AB33" i="4" s="1"/>
  <c r="Z33" i="4"/>
  <c r="AA17" i="4"/>
  <c r="AB17" i="4" s="1"/>
  <c r="Z17" i="4"/>
  <c r="AA35" i="4"/>
  <c r="AC35" i="4" s="1"/>
  <c r="Z35" i="4"/>
  <c r="AA64" i="4"/>
  <c r="AB64" i="4" s="1"/>
  <c r="Z64" i="4"/>
  <c r="AA26" i="4"/>
  <c r="AB26" i="4" s="1"/>
  <c r="Z26" i="4"/>
  <c r="AA68" i="4"/>
  <c r="AB68" i="4" s="1"/>
  <c r="Z68" i="4"/>
  <c r="AA18" i="4"/>
  <c r="AC18" i="4" s="1"/>
  <c r="Z18" i="4"/>
  <c r="AA51" i="4"/>
  <c r="AC51" i="4" s="1"/>
  <c r="Z51" i="4"/>
  <c r="AA45" i="4"/>
  <c r="AB45" i="4" s="1"/>
  <c r="Z45" i="4"/>
  <c r="AA37" i="4"/>
  <c r="AC37" i="4" s="1"/>
  <c r="Z37" i="4"/>
  <c r="AA34" i="4"/>
  <c r="AB34" i="4" s="1"/>
  <c r="Z34" i="4"/>
  <c r="AA27" i="4"/>
  <c r="AC27" i="4" s="1"/>
  <c r="Z27" i="4"/>
  <c r="AA47" i="4"/>
  <c r="AB47" i="4" s="1"/>
  <c r="Z47" i="4"/>
  <c r="AA40" i="4"/>
  <c r="AC40" i="4" s="1"/>
  <c r="Z40" i="4"/>
  <c r="AA32" i="4"/>
  <c r="AC32" i="4" s="1"/>
  <c r="Z32" i="4"/>
  <c r="AA66" i="4"/>
  <c r="AC66" i="4" s="1"/>
  <c r="Z66" i="4"/>
  <c r="AA70" i="4"/>
  <c r="AC70" i="4" s="1"/>
  <c r="Z70" i="4"/>
  <c r="AA44" i="4"/>
  <c r="AC44" i="4" s="1"/>
  <c r="Z44" i="4"/>
  <c r="AA21" i="4"/>
  <c r="AB21" i="4" s="1"/>
  <c r="Z21" i="4"/>
  <c r="AA42" i="4"/>
  <c r="AC42" i="4" s="1"/>
  <c r="Z42" i="4"/>
  <c r="AA43" i="4"/>
  <c r="AB43" i="4" s="1"/>
  <c r="Z43" i="4"/>
  <c r="AA56" i="4"/>
  <c r="AC56" i="4" s="1"/>
  <c r="Z56" i="4"/>
  <c r="AA58" i="4"/>
  <c r="AB58" i="4" s="1"/>
  <c r="Z58" i="4"/>
  <c r="AA22" i="4"/>
  <c r="AC22" i="4" s="1"/>
  <c r="Z22" i="4"/>
  <c r="AA19" i="4"/>
  <c r="AB19" i="4" s="1"/>
  <c r="Z19" i="4"/>
  <c r="AA28" i="4"/>
  <c r="AC28" i="4" s="1"/>
  <c r="Z28" i="4"/>
  <c r="K45" i="5"/>
  <c r="K48" i="5" s="1"/>
  <c r="AB69" i="4"/>
  <c r="AC69" i="4"/>
  <c r="AB41" i="4"/>
  <c r="AB71" i="4"/>
  <c r="AC57" i="4"/>
  <c r="AA25" i="4"/>
  <c r="Z25" i="4"/>
  <c r="AA67" i="4"/>
  <c r="Z67" i="4"/>
  <c r="AA53" i="4"/>
  <c r="Z53" i="4"/>
  <c r="AA39" i="4"/>
  <c r="Z39" i="4"/>
  <c r="AF32" i="4"/>
  <c r="AG32" i="4"/>
  <c r="AD32" i="4"/>
  <c r="Y32" i="4"/>
  <c r="AE32" i="4"/>
  <c r="AF39" i="4"/>
  <c r="AE39" i="4"/>
  <c r="Y39" i="4"/>
  <c r="AG39" i="4"/>
  <c r="AD39" i="4"/>
  <c r="AE42" i="4"/>
  <c r="AF42" i="4"/>
  <c r="AG42" i="4"/>
  <c r="Y42" i="4"/>
  <c r="AD42" i="4"/>
  <c r="AD58" i="4"/>
  <c r="AF58" i="4"/>
  <c r="Y58" i="4"/>
  <c r="AG58" i="4"/>
  <c r="AE58" i="4"/>
  <c r="AG19" i="4"/>
  <c r="AF19" i="4"/>
  <c r="Y19" i="4"/>
  <c r="AE19" i="4"/>
  <c r="AD19" i="4"/>
  <c r="AE71" i="4"/>
  <c r="AD71" i="4"/>
  <c r="AG71" i="4"/>
  <c r="AF71" i="4"/>
  <c r="Y71" i="4"/>
  <c r="AG68" i="4"/>
  <c r="Y68" i="4"/>
  <c r="AE68" i="4"/>
  <c r="AD68" i="4"/>
  <c r="AF68" i="4"/>
  <c r="AG20" i="4"/>
  <c r="AD20" i="4"/>
  <c r="Y20" i="4"/>
  <c r="AF20" i="4"/>
  <c r="AE20" i="4"/>
  <c r="AD69" i="4"/>
  <c r="Y69" i="4"/>
  <c r="AF69" i="4"/>
  <c r="AE69" i="4"/>
  <c r="AG69" i="4"/>
  <c r="AG18" i="4"/>
  <c r="AF18" i="4"/>
  <c r="AE18" i="4"/>
  <c r="Y18" i="4"/>
  <c r="AD18" i="4"/>
  <c r="AG49" i="4"/>
  <c r="AD49" i="4"/>
  <c r="AE49" i="4"/>
  <c r="AF49" i="4"/>
  <c r="Y49" i="4"/>
  <c r="AF51" i="4"/>
  <c r="AG51" i="4"/>
  <c r="Y51" i="4"/>
  <c r="AE51" i="4"/>
  <c r="AD51" i="4"/>
  <c r="AD67" i="4"/>
  <c r="Y67" i="4"/>
  <c r="AG67" i="4"/>
  <c r="AF67" i="4"/>
  <c r="AE67" i="4"/>
  <c r="AF45" i="4"/>
  <c r="Y45" i="4"/>
  <c r="AD45" i="4"/>
  <c r="AE45" i="4"/>
  <c r="AG45" i="4"/>
  <c r="AF62" i="4"/>
  <c r="Y62" i="4"/>
  <c r="AD62" i="4"/>
  <c r="AE62" i="4"/>
  <c r="AG62" i="4"/>
  <c r="AG63" i="4"/>
  <c r="AD63" i="4"/>
  <c r="Y63" i="4"/>
  <c r="AF63" i="4"/>
  <c r="AE63" i="4"/>
  <c r="AD37" i="4"/>
  <c r="Y37" i="4"/>
  <c r="AE37" i="4"/>
  <c r="AF37" i="4"/>
  <c r="AG37" i="4"/>
  <c r="AD41" i="4"/>
  <c r="AG41" i="4"/>
  <c r="Y41" i="4"/>
  <c r="AE41" i="4"/>
  <c r="AF41" i="4"/>
  <c r="AG34" i="4"/>
  <c r="Y34" i="4"/>
  <c r="AF34" i="4"/>
  <c r="AE34" i="4"/>
  <c r="AD34" i="4"/>
  <c r="AF77" i="4"/>
  <c r="AD77" i="4"/>
  <c r="AE77" i="4"/>
  <c r="AG77" i="4"/>
  <c r="Y77" i="4"/>
  <c r="AG47" i="4"/>
  <c r="Y47" i="4"/>
  <c r="AF47" i="4"/>
  <c r="AD47" i="4"/>
  <c r="AE47" i="4"/>
  <c r="AG53" i="4"/>
  <c r="AE53" i="4"/>
  <c r="AF53" i="4"/>
  <c r="Y53" i="4"/>
  <c r="AD53" i="4"/>
  <c r="AD70" i="4"/>
  <c r="AF70" i="4"/>
  <c r="AG70" i="4"/>
  <c r="Y70" i="4"/>
  <c r="AE70" i="4"/>
  <c r="AG21" i="4"/>
  <c r="AF21" i="4"/>
  <c r="Y21" i="4"/>
  <c r="AD21" i="4"/>
  <c r="AE21" i="4"/>
  <c r="Y56" i="4"/>
  <c r="AD56" i="4"/>
  <c r="AG56" i="4"/>
  <c r="AF56" i="4"/>
  <c r="AE56" i="4"/>
  <c r="AE28" i="4"/>
  <c r="AD28" i="4"/>
  <c r="Y28" i="4"/>
  <c r="AG28" i="4"/>
  <c r="AF28" i="4"/>
  <c r="AE27" i="4"/>
  <c r="Y27" i="4"/>
  <c r="AF27" i="4"/>
  <c r="AG27" i="4"/>
  <c r="AD27" i="4"/>
  <c r="AD16" i="4"/>
  <c r="AE16" i="4"/>
  <c r="AF16" i="4"/>
  <c r="AG16" i="4"/>
  <c r="Y16" i="4"/>
  <c r="AG61" i="4"/>
  <c r="AF61" i="4"/>
  <c r="AD61" i="4"/>
  <c r="Y61" i="4"/>
  <c r="AE61" i="4"/>
  <c r="AE75" i="4"/>
  <c r="AD75" i="4"/>
  <c r="AF75" i="4"/>
  <c r="AG75" i="4"/>
  <c r="Y75" i="4"/>
  <c r="AE72" i="4"/>
  <c r="Y72" i="4"/>
  <c r="AF72" i="4"/>
  <c r="AG72" i="4"/>
  <c r="AD72" i="4"/>
  <c r="AF59" i="4"/>
  <c r="AE59" i="4"/>
  <c r="Y59" i="4"/>
  <c r="AD59" i="4"/>
  <c r="AG59" i="4"/>
  <c r="AF57" i="4"/>
  <c r="Y57" i="4"/>
  <c r="AE57" i="4"/>
  <c r="AD57" i="4"/>
  <c r="AG57" i="4"/>
  <c r="AF54" i="4"/>
  <c r="AG54" i="4"/>
  <c r="AD54" i="4"/>
  <c r="AE54" i="4"/>
  <c r="Y54" i="4"/>
  <c r="AE29" i="4"/>
  <c r="AG29" i="4"/>
  <c r="Y29" i="4"/>
  <c r="AF29" i="4"/>
  <c r="AD29" i="4"/>
  <c r="Y50" i="4"/>
  <c r="AD50" i="4"/>
  <c r="AF50" i="4"/>
  <c r="AE50" i="4"/>
  <c r="AG50" i="4"/>
  <c r="AE60" i="4"/>
  <c r="AG60" i="4"/>
  <c r="AD60" i="4"/>
  <c r="AF60" i="4"/>
  <c r="Y60" i="4"/>
  <c r="AE25" i="4"/>
  <c r="AD25" i="4"/>
  <c r="Y25" i="4"/>
  <c r="AG25" i="4"/>
  <c r="AF25" i="4"/>
  <c r="Y73" i="4"/>
  <c r="AF73" i="4"/>
  <c r="AG73" i="4"/>
  <c r="AD73" i="4"/>
  <c r="AE73" i="4"/>
  <c r="AE74" i="4"/>
  <c r="AG74" i="4"/>
  <c r="AF74" i="4"/>
  <c r="Y74" i="4"/>
  <c r="AD74" i="4"/>
  <c r="AD46" i="4"/>
  <c r="AE46" i="4"/>
  <c r="AG46" i="4"/>
  <c r="AF46" i="4"/>
  <c r="Y46" i="4"/>
  <c r="AD40" i="4"/>
  <c r="AE40" i="4"/>
  <c r="AF40" i="4"/>
  <c r="Y40" i="4"/>
  <c r="AG40" i="4"/>
  <c r="AF66" i="4"/>
  <c r="AE66" i="4"/>
  <c r="AD66" i="4"/>
  <c r="Y66" i="4"/>
  <c r="AG66" i="4"/>
  <c r="AF44" i="4"/>
  <c r="AE44" i="4"/>
  <c r="AD44" i="4"/>
  <c r="Y44" i="4"/>
  <c r="AG44" i="4"/>
  <c r="AD43" i="4"/>
  <c r="AE43" i="4"/>
  <c r="AF43" i="4"/>
  <c r="Y43" i="4"/>
  <c r="AG43" i="4"/>
  <c r="AF22" i="4"/>
  <c r="AD22" i="4"/>
  <c r="AG22" i="4"/>
  <c r="Y22" i="4"/>
  <c r="AE22" i="4"/>
  <c r="Y15" i="4"/>
  <c r="AA15" i="4" s="1"/>
  <c r="AD15" i="4"/>
  <c r="AF15" i="4" s="1"/>
  <c r="AE15" i="4"/>
  <c r="AF55" i="4"/>
  <c r="Y55" i="4"/>
  <c r="AD55" i="4"/>
  <c r="AE55" i="4"/>
  <c r="AG55" i="4"/>
  <c r="Y24" i="4"/>
  <c r="AD24" i="4"/>
  <c r="AF24" i="4"/>
  <c r="AG24" i="4"/>
  <c r="AE24" i="4"/>
  <c r="AF36" i="4"/>
  <c r="AD36" i="4"/>
  <c r="AG36" i="4"/>
  <c r="AE36" i="4"/>
  <c r="Y36" i="4"/>
  <c r="AG23" i="4"/>
  <c r="AF23" i="4"/>
  <c r="AD23" i="4"/>
  <c r="Y23" i="4"/>
  <c r="AE23" i="4"/>
  <c r="AG31" i="4"/>
  <c r="AE31" i="4"/>
  <c r="AD31" i="4"/>
  <c r="AF31" i="4"/>
  <c r="Y31" i="4"/>
  <c r="Y48" i="4"/>
  <c r="AG48" i="4"/>
  <c r="AE48" i="4"/>
  <c r="AD48" i="4"/>
  <c r="AF48" i="4"/>
  <c r="AG76" i="4"/>
  <c r="AD76" i="4"/>
  <c r="AF76" i="4"/>
  <c r="Y76" i="4"/>
  <c r="AE76" i="4"/>
  <c r="AD38" i="4"/>
  <c r="AF38" i="4"/>
  <c r="Y38" i="4"/>
  <c r="AG38" i="4"/>
  <c r="AE38" i="4"/>
  <c r="AD52" i="4"/>
  <c r="AF52" i="4"/>
  <c r="Y52" i="4"/>
  <c r="AE52" i="4"/>
  <c r="AG52" i="4"/>
  <c r="Y30" i="4"/>
  <c r="AG30" i="4"/>
  <c r="AF30" i="4"/>
  <c r="AD30" i="4"/>
  <c r="AE30" i="4"/>
  <c r="Y65" i="4"/>
  <c r="AD65" i="4"/>
  <c r="AF65" i="4"/>
  <c r="AE65" i="4"/>
  <c r="AG65" i="4"/>
  <c r="Y33" i="4"/>
  <c r="AF33" i="4"/>
  <c r="AE33" i="4"/>
  <c r="AD33" i="4"/>
  <c r="AG33" i="4"/>
  <c r="Y17" i="4"/>
  <c r="AE17" i="4"/>
  <c r="AF17" i="4"/>
  <c r="AD17" i="4"/>
  <c r="AG17" i="4"/>
  <c r="AG35" i="4"/>
  <c r="AD35" i="4"/>
  <c r="AE35" i="4"/>
  <c r="AF35" i="4"/>
  <c r="Y35" i="4"/>
  <c r="Y64" i="4"/>
  <c r="AF64" i="4"/>
  <c r="AE64" i="4"/>
  <c r="AD64" i="4"/>
  <c r="AG64" i="4"/>
  <c r="AD26" i="4"/>
  <c r="AF26" i="4"/>
  <c r="AE26" i="4"/>
  <c r="AG26" i="4"/>
  <c r="Y26" i="4"/>
  <c r="AC63" i="4" l="1"/>
  <c r="AB60" i="4"/>
  <c r="AC38" i="4"/>
  <c r="AC77" i="4"/>
  <c r="AB72" i="4"/>
  <c r="AC23" i="4"/>
  <c r="AC26" i="4"/>
  <c r="AC33" i="4"/>
  <c r="AC55" i="4"/>
  <c r="AB70" i="4"/>
  <c r="AC47" i="4"/>
  <c r="AC30" i="4"/>
  <c r="AC24" i="4"/>
  <c r="AC29" i="4"/>
  <c r="AB18" i="4"/>
  <c r="AC48" i="4"/>
  <c r="AB32" i="4"/>
  <c r="AC16" i="4"/>
  <c r="AC21" i="4"/>
  <c r="AB35" i="4"/>
  <c r="AC74" i="4"/>
  <c r="AC34" i="4"/>
  <c r="AC58" i="4"/>
  <c r="AC43" i="4"/>
  <c r="AC19" i="4"/>
  <c r="AB49" i="4"/>
  <c r="AC45" i="4"/>
  <c r="AC36" i="4"/>
  <c r="AC62" i="4"/>
  <c r="AB54" i="4"/>
  <c r="AC31" i="4"/>
  <c r="AB20" i="4"/>
  <c r="AB37" i="4"/>
  <c r="AB22" i="4"/>
  <c r="AB27" i="4"/>
  <c r="AB28" i="4"/>
  <c r="AB66" i="4"/>
  <c r="AC65" i="4"/>
  <c r="AB44" i="4"/>
  <c r="AB50" i="4"/>
  <c r="AC17" i="4"/>
  <c r="AB42" i="4"/>
  <c r="AB46" i="4"/>
  <c r="AB75" i="4"/>
  <c r="AB51" i="4"/>
  <c r="AC64" i="4"/>
  <c r="AC76" i="4"/>
  <c r="AB56" i="4"/>
  <c r="AB40" i="4"/>
  <c r="AC73" i="4"/>
  <c r="AB59" i="4"/>
  <c r="AC61" i="4"/>
  <c r="AC52" i="4"/>
  <c r="AC68" i="4"/>
  <c r="AB15" i="4"/>
  <c r="AG15" i="4" s="1"/>
  <c r="AC15" i="4"/>
  <c r="AB39" i="4"/>
  <c r="AC39" i="4"/>
  <c r="AB67" i="4"/>
  <c r="AC67" i="4"/>
  <c r="AB53" i="4"/>
  <c r="AC53" i="4"/>
  <c r="AB25" i="4"/>
  <c r="AC25" i="4"/>
</calcChain>
</file>

<file path=xl/sharedStrings.xml><?xml version="1.0" encoding="utf-8"?>
<sst xmlns="http://schemas.openxmlformats.org/spreadsheetml/2006/main" count="181" uniqueCount="140">
  <si>
    <t>Vorname</t>
  </si>
  <si>
    <t>Nachname</t>
  </si>
  <si>
    <t>Jahrgang</t>
  </si>
  <si>
    <t>EZ</t>
  </si>
  <si>
    <t>DP</t>
  </si>
  <si>
    <t>MX</t>
  </si>
  <si>
    <t>Verein</t>
  </si>
  <si>
    <t>Name</t>
  </si>
  <si>
    <t>Kürzel</t>
  </si>
  <si>
    <t>Landesverband</t>
  </si>
  <si>
    <t>Baden-Württemberg</t>
  </si>
  <si>
    <t>Bayern</t>
  </si>
  <si>
    <t>Berlin-Brandenburg</t>
  </si>
  <si>
    <t>Bremen</t>
  </si>
  <si>
    <t>Hamburg</t>
  </si>
  <si>
    <t>Hessen</t>
  </si>
  <si>
    <t>Mecklenburg-Vorpommern</t>
  </si>
  <si>
    <t>Niedersachsen</t>
  </si>
  <si>
    <t>Nordrhein-Westfalen</t>
  </si>
  <si>
    <t>Rheinland</t>
  </si>
  <si>
    <t>Rheinhessen-Pfalz</t>
  </si>
  <si>
    <t>Saarland</t>
  </si>
  <si>
    <t>Sachsen</t>
  </si>
  <si>
    <t>Sachsen-Anhalt</t>
  </si>
  <si>
    <t>Schleswig-Holstein</t>
  </si>
  <si>
    <t>Thüringen</t>
  </si>
  <si>
    <t>---</t>
  </si>
  <si>
    <t>Danmark</t>
  </si>
  <si>
    <t>England</t>
  </si>
  <si>
    <t>Polska</t>
  </si>
  <si>
    <t>Sverige</t>
  </si>
  <si>
    <t>Other Countries</t>
  </si>
  <si>
    <t xml:space="preserve"> </t>
  </si>
  <si>
    <t>Teilnehmer</t>
  </si>
  <si>
    <t>1.</t>
  </si>
  <si>
    <t>2.</t>
  </si>
  <si>
    <t>3.</t>
  </si>
  <si>
    <t>AK</t>
  </si>
  <si>
    <t>Nr.</t>
  </si>
  <si>
    <t>Nr</t>
  </si>
  <si>
    <t>Nummer</t>
  </si>
  <si>
    <t>TN</t>
  </si>
  <si>
    <t>VTN</t>
  </si>
  <si>
    <t>VNr</t>
  </si>
  <si>
    <t>SK</t>
  </si>
  <si>
    <t>mw</t>
  </si>
  <si>
    <t>Vereins-
nummer</t>
  </si>
  <si>
    <t>Einzel</t>
  </si>
  <si>
    <t>OK</t>
  </si>
  <si>
    <t>Doppel</t>
  </si>
  <si>
    <t>Disziplin</t>
  </si>
  <si>
    <t>Mixed</t>
  </si>
  <si>
    <t>Meldegeld Doppel</t>
  </si>
  <si>
    <t>Meldegeld Mixed</t>
  </si>
  <si>
    <t>4 Euro</t>
  </si>
  <si>
    <t>9 Euro</t>
  </si>
  <si>
    <t>IBAN:</t>
  </si>
  <si>
    <t xml:space="preserve">E-mail:  </t>
  </si>
  <si>
    <t>Spieler ID</t>
  </si>
  <si>
    <t>Straße</t>
  </si>
  <si>
    <t>PLZ</t>
  </si>
  <si>
    <t>Ort</t>
  </si>
  <si>
    <t>Telefon</t>
  </si>
  <si>
    <t>Handy</t>
  </si>
  <si>
    <t>e-mail</t>
  </si>
  <si>
    <t>Sprache</t>
  </si>
  <si>
    <t>Betreuer Name 1</t>
  </si>
  <si>
    <t>Betreuer Handy 1</t>
  </si>
  <si>
    <t>Betreuer Name 2</t>
  </si>
  <si>
    <t>Betreuer Handy 2</t>
  </si>
  <si>
    <t>Betreuer Name 3</t>
  </si>
  <si>
    <t>Betreuer Handy 3</t>
  </si>
  <si>
    <t>Betreuer Name 4</t>
  </si>
  <si>
    <t>Betreuer Handy 4</t>
  </si>
  <si>
    <t>Frühs SA</t>
  </si>
  <si>
    <t>Frühs SO</t>
  </si>
  <si>
    <t>Ü / L / B / N</t>
  </si>
  <si>
    <t>Kontonummer</t>
  </si>
  <si>
    <t>Kontoinhaber</t>
  </si>
  <si>
    <t>VIP</t>
  </si>
  <si>
    <t>Verbundener 
Verein 1</t>
  </si>
  <si>
    <t>Verbundener 
Verein 2</t>
  </si>
  <si>
    <t>LV</t>
  </si>
  <si>
    <t>Verbundener 
Verein 3</t>
  </si>
  <si>
    <t>Verbundener 
Verein 4</t>
  </si>
  <si>
    <t>Verbundener 
Verein 5</t>
  </si>
  <si>
    <t>Verbundener 
Verein 6</t>
  </si>
  <si>
    <t>Verbundener 
Verein 7</t>
  </si>
  <si>
    <t>Verbundener 
Verein 8</t>
  </si>
  <si>
    <t>Verbundener 
Verein 9</t>
  </si>
  <si>
    <t>Verbundener 
Verein 10</t>
  </si>
  <si>
    <t>Verbundener 
Verein 11</t>
  </si>
  <si>
    <t>ÜN Wunsch</t>
  </si>
  <si>
    <t>Freimeldung</t>
  </si>
  <si>
    <t>searching for partner</t>
  </si>
  <si>
    <t>x</t>
  </si>
  <si>
    <t>BW</t>
  </si>
  <si>
    <t>BY</t>
  </si>
  <si>
    <t>BB</t>
  </si>
  <si>
    <t>HB</t>
  </si>
  <si>
    <t>HH</t>
  </si>
  <si>
    <t>HS</t>
  </si>
  <si>
    <t>MV</t>
  </si>
  <si>
    <t>NS</t>
  </si>
  <si>
    <t>NRW</t>
  </si>
  <si>
    <t>RP</t>
  </si>
  <si>
    <t>SL</t>
  </si>
  <si>
    <t>SC</t>
  </si>
  <si>
    <t>ST</t>
  </si>
  <si>
    <t>SH</t>
  </si>
  <si>
    <t>TH</t>
  </si>
  <si>
    <t>DK</t>
  </si>
  <si>
    <t>GB</t>
  </si>
  <si>
    <t>PL</t>
  </si>
  <si>
    <t>SE</t>
  </si>
  <si>
    <t>???</t>
  </si>
  <si>
    <t>x-partner</t>
  </si>
  <si>
    <t>DK Pkt</t>
  </si>
  <si>
    <t>DK Kl.</t>
  </si>
  <si>
    <t>SK gemeldet</t>
  </si>
  <si>
    <t>Nein</t>
  </si>
  <si>
    <t>Ja</t>
  </si>
  <si>
    <t>Ja / Yes</t>
  </si>
  <si>
    <t>Nein / No</t>
  </si>
  <si>
    <t>Yes</t>
  </si>
  <si>
    <t>No</t>
  </si>
  <si>
    <t>w</t>
  </si>
  <si>
    <t>A</t>
  </si>
  <si>
    <t>B</t>
  </si>
  <si>
    <t>C</t>
  </si>
  <si>
    <t>m</t>
  </si>
  <si>
    <t>ÜN FR Klasse</t>
  </si>
  <si>
    <t>ÜN FR Halle</t>
  </si>
  <si>
    <t>ÜN SA Klasse</t>
  </si>
  <si>
    <t>ÜN SA Halle</t>
  </si>
  <si>
    <t>DK AK</t>
  </si>
  <si>
    <t>3 Euro</t>
  </si>
  <si>
    <t>5 Euro</t>
  </si>
  <si>
    <t>2025-1</t>
  </si>
  <si>
    <t>13 Euro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</si>
</sst>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U&quot;0"/>
  </numFmts>
  <fonts count="22" x14ac:knownFonts="1">
    <font>
      <sz val="11"/>
      <color theme="1"/>
      <name val="Calibri"/>
      <family val="2"/>
      <scheme val="minor"/>
    </font>
    <font>
      <b/>
      <sz val="11"/>
      <color theme="1"/>
      <name val="Calibri"/>
      <family val="2"/>
      <scheme val="minor"/>
    </font>
    <font>
      <sz val="10"/>
      <name val="MS Sans Serif"/>
    </font>
    <font>
      <sz val="15"/>
      <name val="Arial"/>
      <family val="2"/>
    </font>
    <font>
      <b/>
      <sz val="9"/>
      <color rgb="FFFF0000"/>
      <name val="Calibri"/>
      <family val="2"/>
      <scheme val="minor"/>
    </font>
    <font>
      <b/>
      <sz val="9"/>
      <color theme="1"/>
      <name val="Calibri"/>
      <family val="2"/>
      <scheme val="minor"/>
    </font>
    <font>
      <sz val="11"/>
      <color theme="0" tint="-0.34998626667073579"/>
      <name val="Calibri"/>
      <family val="2"/>
      <scheme val="minor"/>
    </font>
    <font>
      <b/>
      <sz val="14"/>
      <name val="Calibri"/>
      <family val="2"/>
      <scheme val="minor"/>
    </font>
    <font>
      <b/>
      <sz val="14"/>
      <color theme="1"/>
      <name val="Calibri"/>
      <family val="2"/>
      <scheme val="minor"/>
    </font>
    <font>
      <b/>
      <sz val="8"/>
      <color theme="1"/>
      <name val="Calibri"/>
      <family val="2"/>
      <scheme val="minor"/>
    </font>
    <font>
      <sz val="11"/>
      <color theme="0" tint="-0.14999847407452621"/>
      <name val="Calibri"/>
      <family val="2"/>
      <scheme val="minor"/>
    </font>
    <font>
      <sz val="8"/>
      <color theme="1"/>
      <name val="Calibri"/>
      <family val="2"/>
      <scheme val="minor"/>
    </font>
    <font>
      <b/>
      <sz val="16"/>
      <name val="Calibri"/>
      <family val="2"/>
      <scheme val="minor"/>
    </font>
    <font>
      <sz val="11"/>
      <name val="Arial"/>
      <family val="2"/>
    </font>
    <font>
      <sz val="11"/>
      <color rgb="FFFF0000"/>
      <name val="Arial"/>
      <family val="2"/>
    </font>
    <font>
      <sz val="11"/>
      <name val="Calibri"/>
      <family val="2"/>
      <scheme val="minor"/>
    </font>
    <font>
      <b/>
      <sz val="11"/>
      <color theme="0" tint="-0.34998626667073579"/>
      <name val="Calibri"/>
      <family val="2"/>
      <scheme val="minor"/>
    </font>
    <font>
      <b/>
      <sz val="14"/>
      <color rgb="FFFF0000"/>
      <name val="Calibri"/>
      <family val="2"/>
      <scheme val="minor"/>
    </font>
    <font>
      <u/>
      <sz val="11"/>
      <color theme="10"/>
      <name val="Calibri"/>
      <family val="2"/>
      <scheme val="minor"/>
    </font>
    <font>
      <sz val="11"/>
      <color theme="0"/>
      <name val="Calibri"/>
      <family val="2"/>
      <scheme val="minor"/>
    </font>
    <font>
      <b/>
      <sz val="11"/>
      <color rgb="FFFF0000"/>
      <name val="Calibri"/>
      <family val="2"/>
      <scheme val="minor"/>
    </font>
    <font>
      <sz val="1"/>
      <color theme="0"/>
      <name val="Calibri"/>
      <family val="2"/>
      <scheme val="minor"/>
    </font>
  </fonts>
  <fills count="10">
    <fill>
      <patternFill patternType="none"/>
    </fill>
    <fill>
      <patternFill patternType="gray125"/>
    </fill>
    <fill>
      <patternFill patternType="solid">
        <fgColor theme="5" tint="0.7999816888943144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9"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bottom style="thin">
        <color theme="0" tint="-0.34998626667073579"/>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bottom/>
      <diagonal/>
    </border>
    <border>
      <left style="thin">
        <color indexed="64"/>
      </left>
      <right/>
      <top/>
      <bottom/>
      <diagonal/>
    </border>
    <border>
      <left/>
      <right/>
      <top/>
      <bottom style="thin">
        <color indexed="64"/>
      </bottom>
      <diagonal/>
    </border>
    <border>
      <left style="thin">
        <color theme="0" tint="-0.34998626667073579"/>
      </left>
      <right/>
      <top/>
      <bottom style="thin">
        <color indexed="64"/>
      </bottom>
      <diagonal/>
    </border>
  </borders>
  <cellStyleXfs count="3">
    <xf numFmtId="0" fontId="0" fillId="0" borderId="0"/>
    <xf numFmtId="0" fontId="2" fillId="0" borderId="0"/>
    <xf numFmtId="0" fontId="18" fillId="0" borderId="0" applyNumberFormat="0" applyFill="0" applyBorder="0" applyAlignment="0" applyProtection="0"/>
  </cellStyleXfs>
  <cellXfs count="137">
    <xf numFmtId="0" fontId="0" fillId="0" borderId="0" xfId="0"/>
    <xf numFmtId="0" fontId="0" fillId="0" borderId="0" xfId="0" applyAlignment="1">
      <alignment shrinkToFit="1"/>
    </xf>
    <xf numFmtId="0" fontId="1" fillId="0" borderId="0" xfId="0" applyFont="1" applyAlignment="1">
      <alignment shrinkToFit="1"/>
    </xf>
    <xf numFmtId="0" fontId="1" fillId="0" borderId="0" xfId="0" applyFont="1" applyAlignment="1">
      <alignment horizontal="center" shrinkToFit="1"/>
    </xf>
    <xf numFmtId="0" fontId="0" fillId="0" borderId="0" xfId="0" applyAlignment="1">
      <alignment horizontal="center"/>
    </xf>
    <xf numFmtId="0" fontId="0" fillId="0" borderId="0" xfId="0" applyAlignment="1">
      <alignment horizontal="left" shrinkToFit="1"/>
    </xf>
    <xf numFmtId="0" fontId="1" fillId="4" borderId="3" xfId="0" applyFont="1" applyFill="1" applyBorder="1" applyAlignment="1">
      <alignment horizontal="left" shrinkToFit="1"/>
    </xf>
    <xf numFmtId="0" fontId="1" fillId="4" borderId="4" xfId="0" applyFont="1" applyFill="1" applyBorder="1" applyAlignment="1">
      <alignment horizontal="left" shrinkToFit="1"/>
    </xf>
    <xf numFmtId="0" fontId="0" fillId="0" borderId="0" xfId="0" applyAlignment="1" applyProtection="1">
      <alignment horizontal="center"/>
      <protection locked="0"/>
    </xf>
    <xf numFmtId="0" fontId="0" fillId="0" borderId="0" xfId="0" applyProtection="1">
      <protection locked="0"/>
    </xf>
    <xf numFmtId="0" fontId="0" fillId="5" borderId="0" xfId="0" applyFill="1"/>
    <xf numFmtId="0" fontId="0" fillId="6" borderId="0" xfId="0" applyFill="1"/>
    <xf numFmtId="0" fontId="0" fillId="7" borderId="0" xfId="0" applyFill="1"/>
    <xf numFmtId="0" fontId="1" fillId="5" borderId="0" xfId="0" applyFont="1" applyFill="1" applyAlignment="1">
      <alignment shrinkToFit="1"/>
    </xf>
    <xf numFmtId="0" fontId="1" fillId="5" borderId="0" xfId="0" applyFont="1" applyFill="1" applyAlignment="1">
      <alignment horizontal="center" shrinkToFit="1"/>
    </xf>
    <xf numFmtId="0" fontId="1" fillId="5" borderId="0" xfId="0" applyFont="1" applyFill="1" applyAlignment="1">
      <alignment horizontal="left" shrinkToFit="1"/>
    </xf>
    <xf numFmtId="0" fontId="1" fillId="5" borderId="0" xfId="0" applyFont="1" applyFill="1" applyAlignment="1">
      <alignment wrapText="1" shrinkToFit="1"/>
    </xf>
    <xf numFmtId="0" fontId="0" fillId="5" borderId="0" xfId="0" applyFill="1" applyAlignment="1">
      <alignment shrinkToFit="1"/>
    </xf>
    <xf numFmtId="0" fontId="1" fillId="4" borderId="2" xfId="0" applyFont="1" applyFill="1" applyBorder="1" applyAlignment="1">
      <alignment horizontal="center" shrinkToFit="1"/>
    </xf>
    <xf numFmtId="0" fontId="0" fillId="7" borderId="0" xfId="0" applyFill="1" applyAlignment="1">
      <alignment horizontal="center" shrinkToFit="1"/>
    </xf>
    <xf numFmtId="0" fontId="0" fillId="0" borderId="0" xfId="0" applyAlignment="1">
      <alignment horizontal="center" shrinkToFit="1"/>
    </xf>
    <xf numFmtId="0" fontId="4" fillId="0" borderId="0" xfId="0" applyFont="1" applyAlignment="1">
      <alignment vertical="top" wrapText="1"/>
    </xf>
    <xf numFmtId="0" fontId="0" fillId="6" borderId="0" xfId="0" applyFill="1" applyAlignment="1">
      <alignment horizontal="center"/>
    </xf>
    <xf numFmtId="0" fontId="1" fillId="3" borderId="3" xfId="0" applyFont="1" applyFill="1" applyBorder="1" applyAlignment="1">
      <alignment horizontal="center" wrapText="1" shrinkToFit="1"/>
    </xf>
    <xf numFmtId="0" fontId="1" fillId="3" borderId="4" xfId="0" applyFont="1" applyFill="1" applyBorder="1" applyAlignment="1">
      <alignment horizontal="center" wrapText="1" shrinkToFit="1"/>
    </xf>
    <xf numFmtId="0" fontId="0" fillId="5" borderId="0" xfId="0" applyFill="1" applyAlignment="1">
      <alignment horizontal="center"/>
    </xf>
    <xf numFmtId="0" fontId="3" fillId="0" borderId="0" xfId="1" applyFont="1" applyProtection="1">
      <protection hidden="1"/>
    </xf>
    <xf numFmtId="0" fontId="7" fillId="7" borderId="0" xfId="0" applyFont="1" applyFill="1"/>
    <xf numFmtId="0" fontId="8" fillId="7" borderId="0" xfId="0" applyFont="1" applyFill="1"/>
    <xf numFmtId="0" fontId="1" fillId="5" borderId="0" xfId="0" applyFont="1" applyFill="1" applyAlignment="1">
      <alignment horizontal="right" shrinkToFit="1"/>
    </xf>
    <xf numFmtId="0" fontId="10" fillId="0" borderId="0" xfId="0" applyFont="1" applyAlignment="1">
      <alignment shrinkToFit="1"/>
    </xf>
    <xf numFmtId="0" fontId="9" fillId="4" borderId="3" xfId="0" applyFont="1" applyFill="1" applyBorder="1" applyAlignment="1">
      <alignment horizontal="center" wrapText="1" shrinkToFit="1"/>
    </xf>
    <xf numFmtId="0" fontId="1" fillId="5" borderId="5" xfId="0" applyFont="1" applyFill="1" applyBorder="1" applyAlignment="1">
      <alignment horizontal="center" shrinkToFit="1"/>
    </xf>
    <xf numFmtId="0" fontId="0" fillId="0" borderId="1" xfId="0" applyBorder="1" applyProtection="1">
      <protection locked="0"/>
    </xf>
    <xf numFmtId="4" fontId="0" fillId="0" borderId="0" xfId="0" applyNumberFormat="1"/>
    <xf numFmtId="0" fontId="1" fillId="4" borderId="2" xfId="0" applyFont="1" applyFill="1" applyBorder="1" applyAlignment="1">
      <alignment horizontal="center"/>
    </xf>
    <xf numFmtId="0" fontId="6" fillId="0" borderId="0" xfId="0" applyFont="1" applyAlignment="1">
      <alignment horizontal="right"/>
    </xf>
    <xf numFmtId="0" fontId="0" fillId="8" borderId="0" xfId="0" applyFill="1" applyProtection="1">
      <protection locked="0"/>
    </xf>
    <xf numFmtId="0" fontId="1" fillId="5" borderId="17" xfId="0" applyFont="1" applyFill="1" applyBorder="1" applyAlignment="1">
      <alignment horizontal="center" shrinkToFit="1"/>
    </xf>
    <xf numFmtId="0" fontId="0" fillId="0" borderId="0" xfId="0" applyAlignment="1" applyProtection="1">
      <alignment horizontal="center" shrinkToFit="1"/>
      <protection locked="0"/>
    </xf>
    <xf numFmtId="0" fontId="0" fillId="0" borderId="5" xfId="0" applyBorder="1" applyAlignment="1" applyProtection="1">
      <alignment horizontal="center" shrinkToFit="1"/>
      <protection locked="0"/>
    </xf>
    <xf numFmtId="0" fontId="0" fillId="0" borderId="11" xfId="0" applyBorder="1" applyAlignment="1" applyProtection="1">
      <alignment horizontal="center" shrinkToFit="1"/>
      <protection locked="0"/>
    </xf>
    <xf numFmtId="0" fontId="0" fillId="0" borderId="9" xfId="0" applyBorder="1" applyAlignment="1" applyProtection="1">
      <alignment horizontal="center" shrinkToFit="1"/>
      <protection locked="0"/>
    </xf>
    <xf numFmtId="164" fontId="6" fillId="0" borderId="17" xfId="0" applyNumberFormat="1" applyFont="1" applyBorder="1" applyAlignment="1">
      <alignment horizontal="center"/>
    </xf>
    <xf numFmtId="0" fontId="0" fillId="0" borderId="8" xfId="0" applyBorder="1" applyAlignment="1" applyProtection="1">
      <alignment shrinkToFit="1"/>
      <protection locked="0"/>
    </xf>
    <xf numFmtId="0" fontId="0" fillId="0" borderId="11" xfId="0" applyBorder="1" applyAlignment="1" applyProtection="1">
      <alignment shrinkToFit="1"/>
      <protection locked="0"/>
    </xf>
    <xf numFmtId="0" fontId="0" fillId="0" borderId="11" xfId="0" applyBorder="1" applyAlignment="1" applyProtection="1">
      <alignment horizontal="center"/>
      <protection locked="0"/>
    </xf>
    <xf numFmtId="164" fontId="6" fillId="0" borderId="11" xfId="0" applyNumberFormat="1" applyFont="1" applyBorder="1" applyAlignment="1">
      <alignment horizontal="center"/>
    </xf>
    <xf numFmtId="0" fontId="0" fillId="0" borderId="11" xfId="0" applyBorder="1" applyAlignment="1" applyProtection="1">
      <alignment horizontal="left" shrinkToFit="1"/>
      <protection locked="0"/>
    </xf>
    <xf numFmtId="0" fontId="1" fillId="5" borderId="17" xfId="0" applyFont="1" applyFill="1" applyBorder="1" applyAlignment="1">
      <alignment horizontal="center" wrapText="1" shrinkToFit="1"/>
    </xf>
    <xf numFmtId="0" fontId="0" fillId="5" borderId="5" xfId="0" applyFill="1" applyBorder="1" applyAlignment="1">
      <alignment shrinkToFit="1"/>
    </xf>
    <xf numFmtId="0" fontId="0" fillId="0" borderId="17" xfId="0" applyBorder="1" applyAlignment="1" applyProtection="1">
      <alignment horizontal="center"/>
      <protection locked="0"/>
    </xf>
    <xf numFmtId="0" fontId="0" fillId="0" borderId="0" xfId="0" applyAlignment="1" applyProtection="1">
      <alignment shrinkToFit="1"/>
      <protection locked="0"/>
    </xf>
    <xf numFmtId="164" fontId="6" fillId="0" borderId="0" xfId="0" applyNumberFormat="1" applyFont="1" applyAlignment="1">
      <alignment horizontal="center"/>
    </xf>
    <xf numFmtId="164" fontId="6" fillId="0" borderId="5" xfId="0" applyNumberFormat="1" applyFont="1" applyBorder="1" applyAlignment="1">
      <alignment horizontal="center"/>
    </xf>
    <xf numFmtId="164" fontId="6" fillId="0" borderId="9" xfId="0" applyNumberFormat="1" applyFont="1" applyBorder="1" applyAlignment="1">
      <alignment horizontal="center"/>
    </xf>
    <xf numFmtId="0" fontId="0" fillId="0" borderId="1" xfId="0" applyBorder="1" applyAlignment="1" applyProtection="1">
      <alignment horizontal="center" vertical="center"/>
      <protection locked="0"/>
    </xf>
    <xf numFmtId="0" fontId="0" fillId="0" borderId="2" xfId="0" applyBorder="1" applyAlignment="1">
      <alignment horizontal="center" textRotation="45"/>
    </xf>
    <xf numFmtId="0" fontId="0" fillId="9" borderId="0" xfId="0" applyFill="1" applyAlignment="1">
      <alignment shrinkToFit="1"/>
    </xf>
    <xf numFmtId="0" fontId="0" fillId="9" borderId="0" xfId="0" applyFill="1" applyAlignment="1">
      <alignment horizontal="center" shrinkToFit="1"/>
    </xf>
    <xf numFmtId="0" fontId="12" fillId="7" borderId="0" xfId="0" applyFont="1" applyFill="1"/>
    <xf numFmtId="0" fontId="13" fillId="0" borderId="0" xfId="1" applyFont="1" applyProtection="1">
      <protection hidden="1"/>
    </xf>
    <xf numFmtId="0" fontId="13" fillId="0" borderId="1" xfId="1" applyFont="1" applyBorder="1" applyAlignment="1" applyProtection="1">
      <alignment horizontal="center"/>
      <protection locked="0" hidden="1"/>
    </xf>
    <xf numFmtId="0" fontId="14" fillId="0" borderId="0" xfId="1" applyFont="1" applyProtection="1">
      <protection hidden="1"/>
    </xf>
    <xf numFmtId="0" fontId="9" fillId="4" borderId="2" xfId="0" applyFont="1" applyFill="1" applyBorder="1" applyAlignment="1">
      <alignment horizontal="center" vertical="center" wrapText="1" shrinkToFit="1"/>
    </xf>
    <xf numFmtId="0" fontId="9" fillId="4" borderId="2" xfId="0" applyFont="1" applyFill="1" applyBorder="1" applyAlignment="1">
      <alignment horizontal="center" wrapText="1" shrinkToFit="1"/>
    </xf>
    <xf numFmtId="0" fontId="0" fillId="0" borderId="17" xfId="0" applyBorder="1" applyAlignment="1" applyProtection="1">
      <alignment shrinkToFit="1"/>
      <protection locked="0"/>
    </xf>
    <xf numFmtId="0" fontId="0" fillId="0" borderId="0" xfId="0" applyAlignment="1" applyProtection="1">
      <alignment horizontal="left" shrinkToFit="1"/>
      <protection locked="0"/>
    </xf>
    <xf numFmtId="0" fontId="1" fillId="5" borderId="17" xfId="0" applyFont="1" applyFill="1" applyBorder="1" applyAlignment="1">
      <alignment shrinkToFit="1"/>
    </xf>
    <xf numFmtId="0" fontId="1" fillId="5" borderId="5" xfId="0" applyFont="1" applyFill="1" applyBorder="1" applyAlignment="1">
      <alignment horizontal="left" shrinkToFit="1"/>
    </xf>
    <xf numFmtId="0" fontId="0" fillId="5" borderId="17" xfId="0" applyFill="1" applyBorder="1" applyAlignment="1">
      <alignment shrinkToFit="1"/>
    </xf>
    <xf numFmtId="0" fontId="15" fillId="2" borderId="0" xfId="0" applyFont="1" applyFill="1" applyAlignment="1">
      <alignment shrinkToFit="1"/>
    </xf>
    <xf numFmtId="14" fontId="0" fillId="0" borderId="0" xfId="0" applyNumberFormat="1" applyAlignment="1">
      <alignment shrinkToFit="1"/>
    </xf>
    <xf numFmtId="4" fontId="0" fillId="0" borderId="0" xfId="0" quotePrefix="1" applyNumberFormat="1" applyAlignment="1">
      <alignment horizontal="right"/>
    </xf>
    <xf numFmtId="0" fontId="0" fillId="0" borderId="0" xfId="0" applyAlignment="1">
      <alignment horizontal="right"/>
    </xf>
    <xf numFmtId="0" fontId="1" fillId="4" borderId="12" xfId="0" applyFont="1" applyFill="1" applyBorder="1"/>
    <xf numFmtId="0" fontId="1" fillId="4" borderId="14" xfId="0" applyFont="1" applyFill="1" applyBorder="1"/>
    <xf numFmtId="0" fontId="16" fillId="4" borderId="14" xfId="0" applyFont="1" applyFill="1" applyBorder="1" applyAlignment="1">
      <alignment horizontal="right"/>
    </xf>
    <xf numFmtId="4" fontId="1" fillId="4" borderId="13" xfId="0" applyNumberFormat="1" applyFont="1" applyFill="1" applyBorder="1"/>
    <xf numFmtId="49" fontId="0" fillId="0" borderId="1" xfId="0" applyNumberFormat="1" applyBorder="1" applyProtection="1">
      <protection locked="0"/>
    </xf>
    <xf numFmtId="14" fontId="0" fillId="0" borderId="0" xfId="0" applyNumberFormat="1" applyAlignment="1" applyProtection="1">
      <alignment horizontal="center"/>
      <protection locked="0"/>
    </xf>
    <xf numFmtId="14" fontId="0" fillId="0" borderId="11" xfId="0" applyNumberFormat="1" applyBorder="1" applyAlignment="1" applyProtection="1">
      <alignment horizontal="center"/>
      <protection locked="0"/>
    </xf>
    <xf numFmtId="0" fontId="17" fillId="0" borderId="0" xfId="0" applyFont="1"/>
    <xf numFmtId="0" fontId="0" fillId="0" borderId="0" xfId="0" applyAlignment="1">
      <alignment vertical="top"/>
    </xf>
    <xf numFmtId="0" fontId="1" fillId="7" borderId="11" xfId="0" applyFont="1" applyFill="1" applyBorder="1" applyAlignment="1">
      <alignment shrinkToFit="1"/>
    </xf>
    <xf numFmtId="0" fontId="0" fillId="6" borderId="2" xfId="0" applyFill="1" applyBorder="1"/>
    <xf numFmtId="0" fontId="0" fillId="4" borderId="2" xfId="0" applyFill="1" applyBorder="1"/>
    <xf numFmtId="49" fontId="0" fillId="0" borderId="17" xfId="0" applyNumberFormat="1" applyBorder="1" applyAlignment="1" applyProtection="1">
      <alignment horizontal="left"/>
      <protection locked="0"/>
    </xf>
    <xf numFmtId="0" fontId="11" fillId="0" borderId="0" xfId="0" applyFont="1" applyAlignment="1">
      <alignment vertical="top"/>
    </xf>
    <xf numFmtId="0" fontId="19" fillId="0" borderId="0" xfId="0" applyFont="1"/>
    <xf numFmtId="0" fontId="19" fillId="6" borderId="0" xfId="0" applyFont="1" applyFill="1"/>
    <xf numFmtId="0" fontId="21" fillId="0" borderId="0" xfId="0" applyFont="1"/>
    <xf numFmtId="164" fontId="6" fillId="0" borderId="19" xfId="0" applyNumberFormat="1" applyFont="1" applyBorder="1" applyAlignment="1">
      <alignment horizontal="center"/>
    </xf>
    <xf numFmtId="164" fontId="6" fillId="0" borderId="20" xfId="0" applyNumberFormat="1" applyFont="1" applyBorder="1" applyAlignment="1">
      <alignment horizontal="center"/>
    </xf>
    <xf numFmtId="0" fontId="13" fillId="0" borderId="0" xfId="1" applyFont="1" applyAlignment="1" applyProtection="1">
      <alignment wrapText="1"/>
      <protection hidden="1"/>
    </xf>
    <xf numFmtId="4" fontId="11" fillId="0" borderId="0" xfId="0" applyNumberFormat="1" applyFont="1" applyAlignment="1">
      <alignment vertical="center" wrapText="1"/>
    </xf>
    <xf numFmtId="0" fontId="1" fillId="4" borderId="2" xfId="0" applyFont="1" applyFill="1" applyBorder="1" applyAlignment="1">
      <alignment shrinkToFit="1"/>
    </xf>
    <xf numFmtId="0" fontId="1" fillId="4" borderId="10" xfId="0" applyFont="1" applyFill="1" applyBorder="1" applyAlignment="1">
      <alignment shrinkToFit="1"/>
    </xf>
    <xf numFmtId="0" fontId="9" fillId="4" borderId="3" xfId="0" applyFont="1" applyFill="1" applyBorder="1" applyAlignment="1">
      <alignment horizontal="center" wrapText="1" shrinkToFit="1"/>
    </xf>
    <xf numFmtId="0" fontId="9" fillId="4" borderId="4" xfId="0" applyFont="1" applyFill="1" applyBorder="1" applyAlignment="1">
      <alignment horizontal="center" wrapText="1" shrinkToFit="1"/>
    </xf>
    <xf numFmtId="0" fontId="17" fillId="0" borderId="11" xfId="0" applyFont="1" applyBorder="1" applyAlignment="1">
      <alignment wrapText="1"/>
    </xf>
    <xf numFmtId="0" fontId="1" fillId="4" borderId="3" xfId="0" applyFont="1" applyFill="1" applyBorder="1" applyAlignment="1">
      <alignment wrapText="1" shrinkToFit="1"/>
    </xf>
    <xf numFmtId="0" fontId="1" fillId="4" borderId="4" xfId="0" applyFont="1" applyFill="1" applyBorder="1" applyAlignment="1">
      <alignment wrapText="1" shrinkToFit="1"/>
    </xf>
    <xf numFmtId="0" fontId="1" fillId="2" borderId="7" xfId="0" applyFont="1" applyFill="1" applyBorder="1" applyAlignment="1">
      <alignment wrapText="1" shrinkToFit="1"/>
    </xf>
    <xf numFmtId="0" fontId="1" fillId="2" borderId="9" xfId="0" applyFont="1" applyFill="1" applyBorder="1" applyAlignment="1">
      <alignment wrapText="1" shrinkToFit="1"/>
    </xf>
    <xf numFmtId="0" fontId="1" fillId="5" borderId="0" xfId="0" applyFont="1" applyFill="1" applyAlignment="1">
      <alignment horizontal="center" shrinkToFit="1"/>
    </xf>
    <xf numFmtId="0" fontId="1" fillId="3" borderId="6" xfId="0" applyFont="1" applyFill="1" applyBorder="1" applyAlignment="1">
      <alignment horizontal="center" wrapText="1" shrinkToFit="1"/>
    </xf>
    <xf numFmtId="0" fontId="1" fillId="3" borderId="7" xfId="0" applyFont="1" applyFill="1" applyBorder="1" applyAlignment="1">
      <alignment horizontal="center" wrapText="1" shrinkToFit="1"/>
    </xf>
    <xf numFmtId="0" fontId="1" fillId="3" borderId="8" xfId="0" applyFont="1" applyFill="1" applyBorder="1" applyAlignment="1">
      <alignment horizontal="center" wrapText="1" shrinkToFit="1"/>
    </xf>
    <xf numFmtId="0" fontId="1" fillId="3" borderId="9" xfId="0" applyFont="1" applyFill="1" applyBorder="1" applyAlignment="1">
      <alignment horizontal="center" wrapText="1" shrinkToFit="1"/>
    </xf>
    <xf numFmtId="0" fontId="1" fillId="4" borderId="3" xfId="0" applyFont="1" applyFill="1" applyBorder="1" applyAlignment="1">
      <alignment shrinkToFit="1"/>
    </xf>
    <xf numFmtId="0" fontId="1" fillId="4" borderId="4" xfId="0" applyFont="1" applyFill="1" applyBorder="1" applyAlignment="1">
      <alignment shrinkToFit="1"/>
    </xf>
    <xf numFmtId="0" fontId="1" fillId="4" borderId="3" xfId="0" applyFont="1" applyFill="1" applyBorder="1" applyAlignment="1">
      <alignment horizontal="center" wrapText="1" shrinkToFit="1"/>
    </xf>
    <xf numFmtId="0" fontId="1" fillId="4" borderId="4" xfId="0" applyFont="1" applyFill="1" applyBorder="1" applyAlignment="1">
      <alignment horizontal="center" wrapText="1" shrinkToFit="1"/>
    </xf>
    <xf numFmtId="0" fontId="1" fillId="4" borderId="4" xfId="0" applyFont="1" applyFill="1" applyBorder="1" applyAlignment="1">
      <alignment horizontal="center" shrinkToFit="1"/>
    </xf>
    <xf numFmtId="0" fontId="5" fillId="4" borderId="3" xfId="0" applyFont="1" applyFill="1" applyBorder="1" applyAlignment="1">
      <alignment horizontal="center" wrapText="1" shrinkToFit="1"/>
    </xf>
    <xf numFmtId="0" fontId="5" fillId="4" borderId="4" xfId="0" applyFont="1" applyFill="1" applyBorder="1" applyAlignment="1">
      <alignment horizontal="center" wrapText="1" shrinkToFit="1"/>
    </xf>
    <xf numFmtId="0" fontId="1" fillId="4" borderId="10" xfId="0" applyFont="1" applyFill="1" applyBorder="1" applyAlignment="1">
      <alignment horizontal="center" shrinkToFit="1"/>
    </xf>
    <xf numFmtId="0" fontId="1" fillId="4" borderId="15" xfId="0" applyFont="1" applyFill="1" applyBorder="1" applyAlignment="1">
      <alignment horizontal="center" shrinkToFit="1"/>
    </xf>
    <xf numFmtId="0" fontId="1" fillId="4" borderId="16" xfId="0" applyFont="1" applyFill="1" applyBorder="1" applyAlignment="1">
      <alignment horizontal="center" shrinkToFit="1"/>
    </xf>
    <xf numFmtId="0" fontId="1" fillId="4" borderId="6" xfId="0" applyFont="1" applyFill="1" applyBorder="1" applyAlignment="1">
      <alignment horizontal="center" wrapText="1" shrinkToFit="1"/>
    </xf>
    <xf numFmtId="0" fontId="1" fillId="4" borderId="8" xfId="0" applyFont="1" applyFill="1" applyBorder="1" applyAlignment="1">
      <alignment horizontal="center" wrapText="1" shrinkToFit="1"/>
    </xf>
    <xf numFmtId="0" fontId="1" fillId="4" borderId="10" xfId="0" applyFont="1" applyFill="1" applyBorder="1"/>
    <xf numFmtId="0" fontId="1" fillId="4" borderId="15" xfId="0" applyFont="1" applyFill="1" applyBorder="1"/>
    <xf numFmtId="0" fontId="1" fillId="4" borderId="16" xfId="0" applyFont="1" applyFill="1" applyBorder="1"/>
    <xf numFmtId="0" fontId="0" fillId="0" borderId="0" xfId="0" applyAlignment="1">
      <alignment vertical="top" wrapText="1"/>
    </xf>
    <xf numFmtId="0" fontId="0" fillId="0" borderId="12" xfId="0" applyBorder="1" applyProtection="1">
      <protection locked="0"/>
    </xf>
    <xf numFmtId="0" fontId="0" fillId="0" borderId="14" xfId="0" applyBorder="1" applyProtection="1">
      <protection locked="0"/>
    </xf>
    <xf numFmtId="0" fontId="0" fillId="0" borderId="13" xfId="0" applyBorder="1" applyProtection="1">
      <protection locked="0"/>
    </xf>
    <xf numFmtId="0" fontId="15" fillId="0" borderId="18" xfId="0" applyFont="1" applyBorder="1" applyAlignment="1">
      <alignment horizontal="center" vertical="top" wrapText="1"/>
    </xf>
    <xf numFmtId="0" fontId="15" fillId="0" borderId="0" xfId="0" applyFont="1" applyAlignment="1">
      <alignment horizontal="center" vertical="top" wrapText="1"/>
    </xf>
    <xf numFmtId="0" fontId="0" fillId="0" borderId="0" xfId="0" applyAlignment="1">
      <alignment wrapText="1"/>
    </xf>
    <xf numFmtId="0" fontId="0" fillId="0" borderId="1" xfId="0" applyBorder="1" applyAlignment="1" applyProtection="1">
      <alignment wrapText="1"/>
      <protection locked="0"/>
    </xf>
    <xf numFmtId="0" fontId="18" fillId="0" borderId="0" xfId="2"/>
    <xf numFmtId="0" fontId="15" fillId="0" borderId="0" xfId="0" applyFont="1" applyAlignment="1">
      <alignment horizontal="right" vertical="top" wrapText="1"/>
    </xf>
    <xf numFmtId="0" fontId="20" fillId="0" borderId="0" xfId="0" applyFont="1" applyAlignment="1">
      <alignment horizontal="right" vertical="top"/>
    </xf>
    <xf numFmtId="0" fontId="1" fillId="7" borderId="11" xfId="0" applyFont="1" applyFill="1" applyBorder="1" applyAlignment="1">
      <alignment shrinkToFit="1"/>
    </xf>
  </cellXfs>
  <cellStyles count="3">
    <cellStyle name="Link" xfId="2" builtinId="8"/>
    <cellStyle name="Standard" xfId="0" builtinId="0"/>
    <cellStyle name="Standard 2" xfId="1" xr:uid="{05005E0E-8D9F-4984-84A5-524541C18AF2}"/>
  </cellStyles>
  <dxfs count="23">
    <dxf>
      <font>
        <color theme="0" tint="-0.14996795556505021"/>
      </font>
      <fill>
        <patternFill>
          <bgColor theme="0"/>
        </patternFill>
      </fill>
    </dxf>
    <dxf>
      <font>
        <b/>
        <i val="0"/>
        <color rgb="FFFF0000"/>
      </font>
    </dxf>
    <dxf>
      <font>
        <color theme="0" tint="-0.14996795556505021"/>
      </font>
      <fill>
        <patternFill>
          <bgColor theme="0"/>
        </patternFill>
      </fill>
    </dxf>
    <dxf>
      <font>
        <color theme="0" tint="-0.14996795556505021"/>
      </font>
      <fill>
        <patternFill>
          <bgColor theme="0"/>
        </patternFill>
      </fill>
    </dxf>
    <dxf>
      <font>
        <color theme="0" tint="-0.14996795556505021"/>
      </font>
      <fill>
        <patternFill>
          <bgColor theme="0"/>
        </patternFill>
      </fill>
    </dxf>
    <dxf>
      <fill>
        <patternFill>
          <bgColor rgb="FFFFDFDF"/>
        </patternFill>
      </fill>
      <border>
        <left style="thin">
          <color rgb="FFFF0000"/>
        </left>
        <right style="thin">
          <color rgb="FFFF0000"/>
        </right>
        <top style="thin">
          <color rgb="FFFF0000"/>
        </top>
        <bottom style="thin">
          <color rgb="FFFF0000"/>
        </bottom>
        <vertical/>
        <horizontal/>
      </border>
    </dxf>
    <dxf>
      <fill>
        <patternFill>
          <bgColor rgb="FFFFDFDF"/>
        </patternFill>
      </fill>
      <border>
        <left style="thin">
          <color rgb="FFFF0000"/>
        </left>
        <right style="thin">
          <color rgb="FFFF0000"/>
        </right>
        <top style="thin">
          <color rgb="FFFF0000"/>
        </top>
        <bottom style="thin">
          <color rgb="FFFF0000"/>
        </bottom>
        <vertical/>
        <horizontal/>
      </border>
    </dxf>
    <dxf>
      <font>
        <color theme="0" tint="-0.34998626667073579"/>
      </font>
    </dxf>
    <dxf>
      <fill>
        <patternFill>
          <bgColor rgb="FFFFDFDF"/>
        </patternFill>
      </fill>
      <border>
        <left style="thin">
          <color rgb="FFFF0000"/>
        </left>
        <right style="thin">
          <color rgb="FFFF0000"/>
        </right>
        <top style="thin">
          <color rgb="FFFF0000"/>
        </top>
        <bottom style="thin">
          <color rgb="FFFF0000"/>
        </bottom>
        <vertical/>
        <horizontal/>
      </border>
    </dxf>
    <dxf>
      <fill>
        <patternFill>
          <bgColor rgb="FFFFDFDF"/>
        </patternFill>
      </fill>
      <border>
        <left style="thin">
          <color rgb="FFFF0000"/>
        </left>
        <right style="thin">
          <color rgb="FFFF0000"/>
        </right>
        <top style="thin">
          <color rgb="FFFF0000"/>
        </top>
        <bottom style="thin">
          <color rgb="FFFF0000"/>
        </bottom>
        <vertical/>
        <horizontal/>
      </border>
    </dxf>
    <dxf>
      <fill>
        <patternFill>
          <bgColor rgb="FFFFDFDF"/>
        </patternFill>
      </fill>
      <border>
        <left style="thin">
          <color rgb="FFFF0000"/>
        </left>
        <right style="thin">
          <color rgb="FFFF0000"/>
        </right>
        <top style="thin">
          <color rgb="FFFF0000"/>
        </top>
        <bottom style="thin">
          <color rgb="FFFF0000"/>
        </bottom>
        <vertical/>
        <horizontal/>
      </border>
    </dxf>
    <dxf>
      <fill>
        <patternFill>
          <bgColor rgb="FFFFDFDF"/>
        </patternFill>
      </fill>
      <border>
        <left style="thin">
          <color rgb="FFFF0000"/>
        </left>
        <right style="thin">
          <color rgb="FFFF0000"/>
        </right>
        <top style="thin">
          <color rgb="FFFF0000"/>
        </top>
        <bottom style="thin">
          <color rgb="FFFF0000"/>
        </bottom>
        <vertical/>
        <horizontal/>
      </border>
    </dxf>
    <dxf>
      <font>
        <color theme="0" tint="-0.34998626667073579"/>
      </font>
    </dxf>
    <dxf>
      <border>
        <bottom style="thin">
          <color theme="0" tint="-0.34998626667073579"/>
        </bottom>
        <vertical/>
        <horizontal/>
      </border>
    </dxf>
    <dxf>
      <fill>
        <patternFill>
          <bgColor rgb="FFFFDFDF"/>
        </patternFill>
      </fill>
      <border>
        <left style="thin">
          <color rgb="FFFF0000"/>
        </left>
        <right style="thin">
          <color rgb="FFFF0000"/>
        </right>
        <top style="thin">
          <color rgb="FFFF0000"/>
        </top>
        <bottom style="thin">
          <color rgb="FFFF0000"/>
        </bottom>
        <vertical/>
        <horizontal/>
      </border>
    </dxf>
    <dxf>
      <fill>
        <patternFill>
          <bgColor rgb="FFFFDFDF"/>
        </patternFill>
      </fill>
      <border>
        <left style="thin">
          <color rgb="FFFF0000"/>
        </left>
        <right style="thin">
          <color rgb="FFFF0000"/>
        </right>
        <top style="thin">
          <color rgb="FFFF0000"/>
        </top>
        <bottom style="thin">
          <color rgb="FFFF0000"/>
        </bottom>
        <vertical/>
        <horizontal/>
      </border>
    </dxf>
    <dxf>
      <fill>
        <patternFill>
          <bgColor theme="5" tint="0.79998168889431442"/>
        </patternFill>
      </fill>
      <border>
        <left style="thin">
          <color rgb="FFFF0000"/>
        </left>
        <right style="thin">
          <color rgb="FFFF0000"/>
        </right>
        <top style="thin">
          <color rgb="FFFF0000"/>
        </top>
        <bottom style="thin">
          <color rgb="FFFF0000"/>
        </bottom>
        <vertical/>
        <horizontal/>
      </border>
    </dxf>
    <dxf>
      <fill>
        <patternFill>
          <fgColor auto="1"/>
          <bgColor rgb="FFFFDFDF"/>
        </patternFill>
      </fill>
      <border>
        <left style="thin">
          <color rgb="FFFF0000"/>
        </left>
        <right style="thin">
          <color rgb="FFFF0000"/>
        </right>
        <top style="thin">
          <color rgb="FFFF0000"/>
        </top>
        <bottom style="thin">
          <color rgb="FFFF0000"/>
        </bottom>
        <vertical/>
        <horizontal/>
      </border>
    </dxf>
    <dxf>
      <border>
        <bottom style="thin">
          <color theme="0" tint="-0.34998626667073579"/>
        </bottom>
        <vertical/>
        <horizontal/>
      </border>
    </dxf>
    <dxf>
      <font>
        <color theme="0" tint="-0.14996795556505021"/>
      </font>
      <fill>
        <patternFill>
          <bgColor theme="0"/>
        </patternFill>
      </fill>
    </dxf>
    <dxf>
      <fill>
        <patternFill>
          <bgColor rgb="FFFFFF00"/>
        </patternFill>
      </fill>
    </dxf>
    <dxf>
      <font>
        <color theme="0" tint="-0.14996795556505021"/>
      </font>
      <fill>
        <patternFill>
          <bgColor theme="0"/>
        </patternFill>
      </fill>
    </dxf>
    <dxf>
      <font>
        <color theme="0" tint="-0.14996795556505021"/>
      </font>
      <fill>
        <patternFill>
          <bgColor theme="0"/>
        </patternFill>
      </fill>
    </dxf>
  </dxfs>
  <tableStyles count="0" defaultTableStyle="TableStyleMedium2" defaultPivotStyle="PivotStyleLight16"/>
  <colors>
    <mruColors>
      <color rgb="FFFFDF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nordsport.store/" TargetMode="External"/><Relationship Id="rId1" Type="http://schemas.openxmlformats.org/officeDocument/2006/relationships/hyperlink" Target="http://www.nordsport.stor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6E360-58DB-4BF9-904A-AB6625CE5E56}">
  <sheetPr codeName="Tabelle1"/>
  <dimension ref="B1:C19"/>
  <sheetViews>
    <sheetView showGridLines="0" showRowColHeaders="0" tabSelected="1" zoomScaleNormal="100" workbookViewId="0">
      <selection activeCell="B4" sqref="B4"/>
    </sheetView>
  </sheetViews>
  <sheetFormatPr baseColWidth="10" defaultColWidth="11.44140625" defaultRowHeight="18.600000000000001" x14ac:dyDescent="0.3"/>
  <cols>
    <col min="1" max="1" width="0.88671875" style="26" customWidth="1"/>
    <col min="2" max="2" width="5.6640625" style="26" customWidth="1"/>
    <col min="3" max="3" width="112.5546875" style="26" customWidth="1"/>
    <col min="4" max="5" width="5.6640625" style="26" customWidth="1"/>
    <col min="6" max="16384" width="11.44140625" style="26"/>
  </cols>
  <sheetData>
    <row r="1" spans="2:3" ht="5.0999999999999996" customHeight="1" x14ac:dyDescent="0.3"/>
    <row r="2" spans="2:3" ht="21" x14ac:dyDescent="0.4">
      <c r="B2" s="60" t="str">
        <f>IF(Englisch&lt;&gt;"","Welcome to the entry form for Flora Cup 2026","Herzlich Willkommen zur Meldung für den Flora Cup 2026")</f>
        <v>Herzlich Willkommen zur Meldung für den Flora Cup 2026</v>
      </c>
      <c r="C2" s="28"/>
    </row>
    <row r="3" spans="2:3" x14ac:dyDescent="0.3">
      <c r="B3" s="61"/>
      <c r="C3" s="61"/>
    </row>
    <row r="4" spans="2:3" x14ac:dyDescent="0.3">
      <c r="B4" s="62"/>
      <c r="C4" s="63" t="str">
        <f>IF(B4="","   Set an ""X"" for English.","   Zum Wechsel in die deutsche Sprache bitte dieses Feld leeren.")</f>
        <v xml:space="preserve">   Set an "X" for English.</v>
      </c>
    </row>
    <row r="5" spans="2:3" x14ac:dyDescent="0.3">
      <c r="B5" s="61"/>
      <c r="C5" s="61"/>
    </row>
    <row r="6" spans="2:3" x14ac:dyDescent="0.3">
      <c r="B6" s="61" t="str">
        <f>IF(B4&lt;&gt;"","There are three sheets to be filled in:","Dieses Formular teilt sich in drei Bereiche auf, die alle ausgefüllt werden müssen:")</f>
        <v>Dieses Formular teilt sich in drei Bereiche auf, die alle ausgefüllt werden müssen:</v>
      </c>
      <c r="C6" s="61"/>
    </row>
    <row r="7" spans="2:3" hidden="1" x14ac:dyDescent="0.3">
      <c r="B7" s="61" t="s">
        <v>34</v>
      </c>
      <c r="C7" s="61" t="str">
        <f>IF(Englisch&lt;&gt;"","Data declaration","Datenerklärung")</f>
        <v>Datenerklärung</v>
      </c>
    </row>
    <row r="8" spans="2:3" x14ac:dyDescent="0.3">
      <c r="B8" s="61" t="s">
        <v>34</v>
      </c>
      <c r="C8" s="61" t="str">
        <f>IF(B4&lt;&gt;"","Clubs / Contact details","Vereine / Kontaktdetails")</f>
        <v>Vereine / Kontaktdetails</v>
      </c>
    </row>
    <row r="9" spans="2:3" x14ac:dyDescent="0.3">
      <c r="B9" s="61" t="s">
        <v>35</v>
      </c>
      <c r="C9" s="61" t="str">
        <f>IF(B4&lt;&gt;"","Starters with information about competitions","Spielerinnen und Spieler mit der Angabe der Wettbewerbe")</f>
        <v>Spielerinnen und Spieler mit der Angabe der Wettbewerbe</v>
      </c>
    </row>
    <row r="10" spans="2:3" x14ac:dyDescent="0.3">
      <c r="B10" s="61" t="s">
        <v>36</v>
      </c>
      <c r="C10" s="61" t="str">
        <f>IF(B4&lt;&gt;"","Other information (accomodation, shuttle order, entry fee)","Drum herum (Übernachtung, Ballbestellung, Meldegeld)")</f>
        <v>Drum herum (Übernachtung, Ballbestellung, Meldegeld)</v>
      </c>
    </row>
    <row r="11" spans="2:3" x14ac:dyDescent="0.3">
      <c r="B11" s="61"/>
      <c r="C11" s="61"/>
    </row>
    <row r="12" spans="2:3" ht="38.25" customHeight="1" x14ac:dyDescent="0.3">
      <c r="B12" s="94" t="str">
        <f>IF(B4&lt;&gt;"","Please fill in the colums with light blue background at the header. The easiest way is to navigate with tab.","Alle Felder unter hellblauen Überschriften sollen ausgefüllt werden. Am besten gehst du mit der Tabulatortaste von einer Zelle zur nächsten. ")</f>
        <v xml:space="preserve">Alle Felder unter hellblauen Überschriften sollen ausgefüllt werden. Am besten gehst du mit der Tabulatortaste von einer Zelle zur nächsten. </v>
      </c>
      <c r="C12" s="94"/>
    </row>
    <row r="13" spans="2:3" ht="38.25" customHeight="1" x14ac:dyDescent="0.3">
      <c r="B13" s="94" t="str">
        <f>IF(B4&lt;&gt;"","The other cells are protected, since all information is processed automatically. Please do not alter, since then your entries might not get to us.","Bitte habe Verständnis, dass alle Blätter mit Schreibschutz versehen sind. Alle Daten werden automatisiert weiterverarbeitet. In vergangenen Jahren haben einzelne Vereine Eingabefelder verändert, die Weiterverarbeitung funktionierte danach nicht mehr.")</f>
        <v>Bitte habe Verständnis, dass alle Blätter mit Schreibschutz versehen sind. Alle Daten werden automatisiert weiterverarbeitet. In vergangenen Jahren haben einzelne Vereine Eingabefelder verändert, die Weiterverarbeitung funktionierte danach nicht mehr.</v>
      </c>
      <c r="C13" s="94"/>
    </row>
    <row r="14" spans="2:3" ht="54.15" customHeight="1" x14ac:dyDescent="0.3">
      <c r="B14" s="94" t="str">
        <f>IF(Englisch&lt;&gt;"","By mailing this form I agree that the data in this file is stored and published by the tournament e. g. on the websites floracup.de, floracup.org and turnier.de. This includes also results, photos and other information gathered in the tourmament.","Durch Absendung des Meldeformulars erkläre ich mich einverstanden, dass die Daten in dieser Datei durch die Veranstalter des Turniers gespeichert und veröffentlicht (bspw. auf floracup.de, floracup.org und turnier.de) werden. "&amp;"Dies gilt ebenfalls für Ergebnisse, Fotos und andere Informationen vom Turnier.")</f>
        <v>Durch Absendung des Meldeformulars erkläre ich mich einverstanden, dass die Daten in dieser Datei durch die Veranstalter des Turniers gespeichert und veröffentlicht (bspw. auf floracup.de, floracup.org und turnier.de) werden. Dies gilt ebenfalls für Ergebnisse, Fotos und andere Informationen vom Turnier.</v>
      </c>
      <c r="C14" s="94"/>
    </row>
    <row r="15" spans="2:3" ht="21.9" customHeight="1" x14ac:dyDescent="0.3">
      <c r="B15" s="61" t="str">
        <f>IF(B4&lt;&gt;"","For further questions feel free to contact us at +49 4121 898508 or send a mail.","Solltest Du noch Fragen zum Ausfüllen haben, rufe uns bitte unter 04121 898508 an.")</f>
        <v>Solltest Du noch Fragen zum Ausfüllen haben, rufe uns bitte unter 04121 898508 an.</v>
      </c>
      <c r="C15" s="61"/>
    </row>
    <row r="16" spans="2:3" x14ac:dyDescent="0.3">
      <c r="B16" s="61"/>
      <c r="C16" s="61"/>
    </row>
    <row r="17" spans="2:3" x14ac:dyDescent="0.3">
      <c r="B17" s="61" t="str">
        <f>IF(B4&lt;&gt;"","We hope to hear from you.","Wir freuen uns auf Eure Meldung.")</f>
        <v>Wir freuen uns auf Eure Meldung.</v>
      </c>
      <c r="C17" s="61"/>
    </row>
    <row r="18" spans="2:3" x14ac:dyDescent="0.3">
      <c r="B18" s="61" t="str">
        <f>IF(B4&lt;&gt;"","Your Flora Cup Team","Das Flora Cup Organisationsteam ")</f>
        <v xml:space="preserve">Das Flora Cup Organisationsteam </v>
      </c>
      <c r="C18" s="61"/>
    </row>
    <row r="19" spans="2:3" x14ac:dyDescent="0.3">
      <c r="B19" s="61"/>
      <c r="C19" s="61"/>
    </row>
  </sheetData>
  <sheetProtection algorithmName="SHA-512" hashValue="be/KKWx2MhSarmfA+4nD4jFf9wtoP3d9UxVy0kR5z6R2rxuH+QEmt1Om1PzAqm91gN3y+INVA5m6iaZbdGeXPw==" saltValue="sMIXikAvvqSf7wBdhBccmg==" spinCount="100000" sheet="1" objects="1" scenarios="1"/>
  <mergeCells count="3">
    <mergeCell ref="B12:C12"/>
    <mergeCell ref="B13:C13"/>
    <mergeCell ref="B14:C14"/>
  </mergeCells>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FE2A0-0EA4-4430-998C-1DECC27A7BA9}">
  <sheetPr codeName="Tabelle2"/>
  <dimension ref="A1:N49"/>
  <sheetViews>
    <sheetView showGridLines="0" showRowColHeaders="0" workbookViewId="0">
      <selection activeCell="E28" sqref="E28"/>
    </sheetView>
  </sheetViews>
  <sheetFormatPr baseColWidth="10" defaultRowHeight="14.4" x14ac:dyDescent="0.3"/>
  <cols>
    <col min="1" max="1" width="0.88671875" style="10" customWidth="1"/>
    <col min="2" max="3" width="4.6640625" style="10" hidden="1" customWidth="1"/>
    <col min="4" max="4" width="4.6640625" style="25" hidden="1" customWidth="1"/>
    <col min="5" max="5" width="20.6640625" customWidth="1"/>
    <col min="7" max="7" width="25.44140625" bestFit="1" customWidth="1"/>
    <col min="8" max="8" width="12.44140625" bestFit="1" customWidth="1"/>
    <col min="11" max="11" width="40.6640625" customWidth="1"/>
    <col min="14" max="14" width="11.44140625" style="89"/>
  </cols>
  <sheetData>
    <row r="1" spans="1:14" ht="18" x14ac:dyDescent="0.35">
      <c r="E1" s="28" t="str">
        <f>IF(Englisch&lt;&gt;"","Clubs","Vereine")</f>
        <v>Vereine</v>
      </c>
      <c r="F1" s="12"/>
      <c r="G1" s="12"/>
      <c r="H1" s="12"/>
      <c r="J1" s="28" t="str">
        <f>IF(Englisch&lt;&gt;"","Contact Details","Kontakt")</f>
        <v>Kontakt</v>
      </c>
      <c r="K1" s="12"/>
      <c r="L1" s="12"/>
      <c r="M1" s="12"/>
    </row>
    <row r="2" spans="1:14" ht="18" x14ac:dyDescent="0.35">
      <c r="E2" s="82"/>
    </row>
    <row r="3" spans="1:14" ht="21.9" customHeight="1" x14ac:dyDescent="0.3">
      <c r="E3" s="96" t="s">
        <v>7</v>
      </c>
      <c r="F3" s="97" t="str">
        <f>IF(Englisch&lt;&gt;"","Abbreviation","Kürzel")</f>
        <v>Kürzel</v>
      </c>
      <c r="G3" s="96" t="str">
        <f>IF(Englisch&lt;&gt;"","Country","Landesverband")</f>
        <v>Landesverband</v>
      </c>
      <c r="H3" s="98" t="str">
        <f>IF(Englisch&lt;&gt;"","I / we pay for this club","Ich bezahle / wir bezahlen für die Teilnehmenden dieses Vereins")</f>
        <v>Ich bezahle / wir bezahlen für die Teilnehmenden dieses Vereins</v>
      </c>
    </row>
    <row r="4" spans="1:14" ht="21.9" customHeight="1" x14ac:dyDescent="0.3">
      <c r="C4" s="10" t="s">
        <v>43</v>
      </c>
      <c r="D4" s="25" t="s">
        <v>39</v>
      </c>
      <c r="E4" s="96" t="s">
        <v>7</v>
      </c>
      <c r="F4" s="97" t="s">
        <v>8</v>
      </c>
      <c r="G4" s="96" t="s">
        <v>9</v>
      </c>
      <c r="H4" s="99"/>
    </row>
    <row r="5" spans="1:14" s="11" customFormat="1" ht="15" hidden="1" customHeight="1" x14ac:dyDescent="0.3">
      <c r="A5" s="10"/>
      <c r="B5" s="10"/>
      <c r="C5" s="10"/>
      <c r="D5" s="25"/>
      <c r="G5" s="85" t="s">
        <v>32</v>
      </c>
      <c r="H5" s="65"/>
      <c r="N5" s="90"/>
    </row>
    <row r="6" spans="1:14" s="11" customFormat="1" hidden="1" x14ac:dyDescent="0.3">
      <c r="A6" s="10"/>
      <c r="B6" s="10"/>
      <c r="C6" s="10"/>
      <c r="D6" s="25"/>
      <c r="G6" s="11" t="s">
        <v>10</v>
      </c>
      <c r="H6" s="22" t="s">
        <v>96</v>
      </c>
      <c r="N6" s="90"/>
    </row>
    <row r="7" spans="1:14" s="11" customFormat="1" hidden="1" x14ac:dyDescent="0.3">
      <c r="A7" s="10"/>
      <c r="B7" s="10"/>
      <c r="C7" s="10"/>
      <c r="D7" s="25"/>
      <c r="G7" s="11" t="s">
        <v>11</v>
      </c>
      <c r="H7" s="22" t="s">
        <v>97</v>
      </c>
      <c r="N7" s="90"/>
    </row>
    <row r="8" spans="1:14" s="11" customFormat="1" hidden="1" x14ac:dyDescent="0.3">
      <c r="A8" s="10"/>
      <c r="B8" s="10"/>
      <c r="C8" s="10"/>
      <c r="D8" s="25"/>
      <c r="G8" s="11" t="s">
        <v>12</v>
      </c>
      <c r="H8" s="22" t="s">
        <v>98</v>
      </c>
      <c r="N8" s="90"/>
    </row>
    <row r="9" spans="1:14" s="11" customFormat="1" hidden="1" x14ac:dyDescent="0.3">
      <c r="A9" s="10"/>
      <c r="B9" s="10"/>
      <c r="C9" s="10"/>
      <c r="D9" s="25"/>
      <c r="G9" s="11" t="s">
        <v>13</v>
      </c>
      <c r="H9" s="22" t="s">
        <v>99</v>
      </c>
      <c r="N9" s="90"/>
    </row>
    <row r="10" spans="1:14" s="11" customFormat="1" hidden="1" x14ac:dyDescent="0.3">
      <c r="A10" s="10"/>
      <c r="B10" s="10"/>
      <c r="C10" s="10"/>
      <c r="D10" s="25"/>
      <c r="G10" s="11" t="s">
        <v>14</v>
      </c>
      <c r="H10" s="22" t="s">
        <v>100</v>
      </c>
      <c r="N10" s="90"/>
    </row>
    <row r="11" spans="1:14" s="11" customFormat="1" hidden="1" x14ac:dyDescent="0.3">
      <c r="A11" s="10"/>
      <c r="B11" s="10"/>
      <c r="C11" s="10"/>
      <c r="D11" s="25"/>
      <c r="G11" s="11" t="s">
        <v>15</v>
      </c>
      <c r="H11" s="22" t="s">
        <v>101</v>
      </c>
      <c r="N11" s="90"/>
    </row>
    <row r="12" spans="1:14" s="11" customFormat="1" hidden="1" x14ac:dyDescent="0.3">
      <c r="A12" s="10"/>
      <c r="B12" s="10"/>
      <c r="C12" s="10"/>
      <c r="D12" s="25"/>
      <c r="G12" s="11" t="s">
        <v>16</v>
      </c>
      <c r="H12" s="22" t="s">
        <v>102</v>
      </c>
      <c r="N12" s="90"/>
    </row>
    <row r="13" spans="1:14" s="11" customFormat="1" hidden="1" x14ac:dyDescent="0.3">
      <c r="A13" s="10"/>
      <c r="B13" s="10"/>
      <c r="C13" s="10"/>
      <c r="D13" s="25"/>
      <c r="G13" s="11" t="s">
        <v>17</v>
      </c>
      <c r="H13" s="22" t="s">
        <v>103</v>
      </c>
      <c r="N13" s="90"/>
    </row>
    <row r="14" spans="1:14" s="11" customFormat="1" hidden="1" x14ac:dyDescent="0.3">
      <c r="A14" s="10"/>
      <c r="B14" s="10"/>
      <c r="C14" s="10"/>
      <c r="D14" s="25"/>
      <c r="G14" s="11" t="s">
        <v>18</v>
      </c>
      <c r="H14" s="22" t="s">
        <v>104</v>
      </c>
      <c r="N14" s="90"/>
    </row>
    <row r="15" spans="1:14" s="11" customFormat="1" hidden="1" x14ac:dyDescent="0.3">
      <c r="A15" s="10"/>
      <c r="B15" s="10"/>
      <c r="C15" s="10"/>
      <c r="D15" s="25"/>
      <c r="G15" s="11" t="s">
        <v>19</v>
      </c>
      <c r="H15" s="22" t="s">
        <v>105</v>
      </c>
      <c r="N15" s="90"/>
    </row>
    <row r="16" spans="1:14" s="11" customFormat="1" hidden="1" x14ac:dyDescent="0.3">
      <c r="A16" s="10"/>
      <c r="B16" s="10"/>
      <c r="C16" s="10"/>
      <c r="D16" s="25"/>
      <c r="G16" s="11" t="s">
        <v>20</v>
      </c>
      <c r="H16" s="22" t="s">
        <v>105</v>
      </c>
      <c r="N16" s="90"/>
    </row>
    <row r="17" spans="1:14" s="11" customFormat="1" hidden="1" x14ac:dyDescent="0.3">
      <c r="A17" s="10"/>
      <c r="B17" s="10"/>
      <c r="C17" s="10"/>
      <c r="D17" s="25"/>
      <c r="G17" s="11" t="s">
        <v>21</v>
      </c>
      <c r="H17" s="22" t="s">
        <v>106</v>
      </c>
      <c r="N17" s="90"/>
    </row>
    <row r="18" spans="1:14" s="11" customFormat="1" hidden="1" x14ac:dyDescent="0.3">
      <c r="A18" s="10"/>
      <c r="B18" s="10"/>
      <c r="C18" s="10"/>
      <c r="D18" s="25"/>
      <c r="G18" s="11" t="s">
        <v>22</v>
      </c>
      <c r="H18" s="22" t="s">
        <v>107</v>
      </c>
      <c r="N18" s="90"/>
    </row>
    <row r="19" spans="1:14" s="11" customFormat="1" hidden="1" x14ac:dyDescent="0.3">
      <c r="A19" s="10"/>
      <c r="B19" s="10"/>
      <c r="C19" s="10"/>
      <c r="D19" s="25"/>
      <c r="G19" s="11" t="s">
        <v>23</v>
      </c>
      <c r="H19" s="22" t="s">
        <v>108</v>
      </c>
      <c r="N19" s="90"/>
    </row>
    <row r="20" spans="1:14" s="11" customFormat="1" hidden="1" x14ac:dyDescent="0.3">
      <c r="A20" s="10"/>
      <c r="B20" s="10"/>
      <c r="C20" s="10"/>
      <c r="D20" s="25"/>
      <c r="G20" s="11" t="s">
        <v>24</v>
      </c>
      <c r="H20" s="22" t="s">
        <v>109</v>
      </c>
      <c r="N20" s="90"/>
    </row>
    <row r="21" spans="1:14" s="11" customFormat="1" hidden="1" x14ac:dyDescent="0.3">
      <c r="A21" s="10"/>
      <c r="B21" s="10"/>
      <c r="C21" s="10"/>
      <c r="D21" s="25"/>
      <c r="G21" s="11" t="s">
        <v>25</v>
      </c>
      <c r="H21" s="22" t="s">
        <v>110</v>
      </c>
      <c r="N21" s="90"/>
    </row>
    <row r="22" spans="1:14" s="11" customFormat="1" hidden="1" x14ac:dyDescent="0.3">
      <c r="A22" s="10"/>
      <c r="B22" s="10"/>
      <c r="C22" s="10"/>
      <c r="D22" s="25"/>
      <c r="G22" s="11" t="s">
        <v>26</v>
      </c>
      <c r="H22" s="22"/>
      <c r="N22" s="90"/>
    </row>
    <row r="23" spans="1:14" s="11" customFormat="1" hidden="1" x14ac:dyDescent="0.3">
      <c r="A23" s="10"/>
      <c r="B23" s="10"/>
      <c r="C23" s="10"/>
      <c r="D23" s="25"/>
      <c r="G23" s="11" t="s">
        <v>27</v>
      </c>
      <c r="H23" s="22" t="s">
        <v>111</v>
      </c>
      <c r="N23" s="90"/>
    </row>
    <row r="24" spans="1:14" s="11" customFormat="1" hidden="1" x14ac:dyDescent="0.3">
      <c r="A24" s="10"/>
      <c r="B24" s="10"/>
      <c r="C24" s="10"/>
      <c r="D24" s="25"/>
      <c r="G24" s="11" t="s">
        <v>28</v>
      </c>
      <c r="H24" s="22" t="s">
        <v>112</v>
      </c>
      <c r="N24" s="90"/>
    </row>
    <row r="25" spans="1:14" s="11" customFormat="1" hidden="1" x14ac:dyDescent="0.3">
      <c r="A25" s="10"/>
      <c r="B25" s="10"/>
      <c r="C25" s="10"/>
      <c r="D25" s="25"/>
      <c r="G25" s="11" t="s">
        <v>29</v>
      </c>
      <c r="H25" s="22" t="s">
        <v>113</v>
      </c>
      <c r="N25" s="90"/>
    </row>
    <row r="26" spans="1:14" s="11" customFormat="1" hidden="1" x14ac:dyDescent="0.3">
      <c r="A26" s="10"/>
      <c r="B26" s="10"/>
      <c r="C26" s="10"/>
      <c r="D26" s="25"/>
      <c r="G26" s="11" t="s">
        <v>30</v>
      </c>
      <c r="H26" s="22" t="s">
        <v>114</v>
      </c>
      <c r="N26" s="90"/>
    </row>
    <row r="27" spans="1:14" s="11" customFormat="1" hidden="1" x14ac:dyDescent="0.3">
      <c r="A27" s="10"/>
      <c r="B27" s="10"/>
      <c r="C27" s="10"/>
      <c r="D27" s="25"/>
      <c r="G27" s="11" t="s">
        <v>31</v>
      </c>
      <c r="H27" s="22" t="s">
        <v>115</v>
      </c>
      <c r="N27" s="90"/>
    </row>
    <row r="28" spans="1:14" x14ac:dyDescent="0.3">
      <c r="C28" s="10">
        <f>IF(OR(H28="Nein",H28="No",H28="nein",H28="no"),'Intern Neu'!$A$2*100+ROW(C1),D28)</f>
        <v>999</v>
      </c>
      <c r="D28" s="25">
        <f>'Intern Neu'!A2</f>
        <v>999</v>
      </c>
      <c r="E28" s="9"/>
      <c r="F28" s="9"/>
      <c r="G28" s="37"/>
      <c r="H28" s="8" t="str">
        <f t="shared" ref="H28" si="0">IF(E28="","","Ja")</f>
        <v/>
      </c>
      <c r="J28" s="86" t="str">
        <f>IF(Englisch&lt;&gt;"","First name   ","Vorname:  ")</f>
        <v xml:space="preserve">Vorname:  </v>
      </c>
      <c r="K28" s="87"/>
      <c r="L28" s="34"/>
      <c r="N28" s="89" t="s">
        <v>122</v>
      </c>
    </row>
    <row r="29" spans="1:14" x14ac:dyDescent="0.3">
      <c r="C29" s="10" t="str">
        <f>IF(OR(H29="Nein",H29="No",H29="nein",H29="no"),'Intern Neu'!$A$2*100+ROW(C2),D29)</f>
        <v/>
      </c>
      <c r="D29" s="25" t="str">
        <f>IF(E29="","",IF(H29="Nein","",MAX(D$1:D28)+1))</f>
        <v/>
      </c>
      <c r="E29" s="9"/>
      <c r="F29" s="9"/>
      <c r="G29" s="37"/>
      <c r="H29" s="8"/>
      <c r="J29" s="86" t="str">
        <f>IF(Englisch&lt;&gt;"","Last name:  ","Nachname:  ")</f>
        <v xml:space="preserve">Nachname:  </v>
      </c>
      <c r="K29" s="87"/>
      <c r="M29" s="34"/>
      <c r="N29" s="89" t="s">
        <v>123</v>
      </c>
    </row>
    <row r="30" spans="1:14" x14ac:dyDescent="0.3">
      <c r="C30" s="10" t="str">
        <f>IF(OR(H30="Nein",H30="No",H30="nein",H30="no"),'Intern Neu'!$A$2*100+ROW(C3),D30)</f>
        <v/>
      </c>
      <c r="D30" s="25" t="str">
        <f>IF(E30="","",IF(H30="Nein","",MAX(D$1:D29)+1))</f>
        <v/>
      </c>
      <c r="E30" s="9"/>
      <c r="F30" s="9"/>
      <c r="G30" s="37"/>
      <c r="H30" s="8" t="str">
        <f t="shared" ref="H30:H31" si="1">IF(E30="","","Ja")</f>
        <v/>
      </c>
      <c r="J30" s="86" t="str">
        <f>IF(Englisch&lt;&gt;"","Street   ","Straße:  ")</f>
        <v xml:space="preserve">Straße:  </v>
      </c>
      <c r="K30" s="87"/>
      <c r="L30" s="34"/>
      <c r="N30" s="89" t="s">
        <v>121</v>
      </c>
    </row>
    <row r="31" spans="1:14" x14ac:dyDescent="0.3">
      <c r="C31" s="10" t="str">
        <f>IF(OR(H31="Nein",H31="No",H31="nein",H31="no"),'Intern Neu'!$A$2*100+ROW(C4),D31)</f>
        <v/>
      </c>
      <c r="D31" s="25" t="str">
        <f>IF(E31="","",IF(H31="Nein","",MAX(D$1:D30)+1))</f>
        <v/>
      </c>
      <c r="E31" s="9"/>
      <c r="F31" s="9"/>
      <c r="G31" s="37"/>
      <c r="H31" s="8" t="str">
        <f t="shared" si="1"/>
        <v/>
      </c>
      <c r="J31" s="86" t="str">
        <f>IF(Englisch&lt;&gt;"","Zip code   ","PLZ:  ")</f>
        <v xml:space="preserve">PLZ:  </v>
      </c>
      <c r="K31" s="87"/>
      <c r="L31" s="34"/>
      <c r="N31" s="89" t="s">
        <v>120</v>
      </c>
    </row>
    <row r="32" spans="1:14" x14ac:dyDescent="0.3">
      <c r="C32" s="10" t="str">
        <f>IF(OR(H32="Nein",H32="No",H32="nein",H32="no"),'Intern Neu'!$A$2*100+ROW(C5),D32)</f>
        <v/>
      </c>
      <c r="D32" s="25" t="str">
        <f>IF(E32="","",IF(H32="Nein","",MAX(D$1:D31)+1))</f>
        <v/>
      </c>
      <c r="E32" s="9"/>
      <c r="F32" s="9"/>
      <c r="G32" s="37"/>
      <c r="H32" s="8" t="str">
        <f t="shared" ref="H32:H47" si="2">IF(E32="","","Ja")</f>
        <v/>
      </c>
      <c r="J32" s="86" t="str">
        <f>IF(Englisch&lt;&gt;"","Town:  ","Ort:  ")</f>
        <v xml:space="preserve">Ort:  </v>
      </c>
      <c r="K32" s="87"/>
      <c r="L32" s="34"/>
      <c r="N32" s="89" t="s">
        <v>124</v>
      </c>
    </row>
    <row r="33" spans="3:14" x14ac:dyDescent="0.3">
      <c r="C33" s="10" t="str">
        <f>IF(OR(H33="Nein",H33="No",H33="nein",H33="no"),'Intern Neu'!$A$2*100+ROW(C6),D33)</f>
        <v/>
      </c>
      <c r="D33" s="25" t="str">
        <f>IF(E33="","",IF(H33="Nein","",MAX(D$1:D32)+1))</f>
        <v/>
      </c>
      <c r="E33" s="9"/>
      <c r="F33" s="9"/>
      <c r="G33" s="37"/>
      <c r="H33" s="8" t="str">
        <f t="shared" si="2"/>
        <v/>
      </c>
      <c r="J33" s="86" t="str">
        <f>IF(Englisch&lt;&gt;"","Telephone:   ","Telefon:  ")</f>
        <v xml:space="preserve">Telefon:  </v>
      </c>
      <c r="K33" s="87"/>
      <c r="L33" s="95" t="str">
        <f>IF(Englisch&lt;&gt;"",
"  &lt;-- for changes during the weekend",
"
  &lt;-- für kurzfristige Änderungen 
         am Turnierwochenende")</f>
        <v xml:space="preserve">
  &lt;-- für kurzfristige Änderungen 
         am Turnierwochenende</v>
      </c>
      <c r="M33" s="95"/>
      <c r="N33" s="89" t="s">
        <v>125</v>
      </c>
    </row>
    <row r="34" spans="3:14" x14ac:dyDescent="0.3">
      <c r="C34" s="10" t="str">
        <f>IF(OR(H34="Nein",H34="No",H34="nein",H34="no"),'Intern Neu'!$A$2*100+ROW(C7),D34)</f>
        <v/>
      </c>
      <c r="D34" s="25" t="str">
        <f>IF(E34="","",IF(H34="Nein","",MAX(D$1:D33)+1))</f>
        <v/>
      </c>
      <c r="E34" s="9"/>
      <c r="F34" s="9"/>
      <c r="G34" s="37"/>
      <c r="H34" s="8" t="str">
        <f t="shared" si="2"/>
        <v/>
      </c>
      <c r="J34" s="86" t="str">
        <f>IF(Englisch&lt;&gt;"","Mobile:  ","Handy:  ")</f>
        <v xml:space="preserve">Handy:  </v>
      </c>
      <c r="K34" s="87"/>
      <c r="L34" s="95"/>
      <c r="M34" s="95"/>
    </row>
    <row r="35" spans="3:14" x14ac:dyDescent="0.3">
      <c r="C35" s="10" t="str">
        <f>IF(OR(H35="Nein",H35="No",H35="nein",H35="no"),'Intern Neu'!$A$2*100+ROW(C8),D35)</f>
        <v/>
      </c>
      <c r="D35" s="25" t="str">
        <f>IF(E35="","",IF(H35="Nein","",MAX(D$1:D34)+1))</f>
        <v/>
      </c>
      <c r="E35" s="9"/>
      <c r="F35" s="9"/>
      <c r="G35" s="37"/>
      <c r="H35" s="8" t="str">
        <f t="shared" si="2"/>
        <v/>
      </c>
      <c r="J35" s="86" t="s">
        <v>57</v>
      </c>
      <c r="K35" s="87"/>
      <c r="L35" s="95"/>
      <c r="M35" s="95"/>
    </row>
    <row r="36" spans="3:14" x14ac:dyDescent="0.3">
      <c r="C36" s="10" t="str">
        <f>IF(OR(H36="Nein",H36="No",H36="nein",H36="no"),'Intern Neu'!$A$2*100+ROW(C9),D36)</f>
        <v/>
      </c>
      <c r="D36" s="25" t="str">
        <f>IF(E36="","",IF(H36="Nein","",MAX(D$1:D35)+1))</f>
        <v/>
      </c>
      <c r="E36" s="9"/>
      <c r="F36" s="9"/>
      <c r="G36" s="37"/>
      <c r="H36" s="8" t="str">
        <f t="shared" si="2"/>
        <v/>
      </c>
    </row>
    <row r="37" spans="3:14" x14ac:dyDescent="0.3">
      <c r="C37" s="10" t="str">
        <f>IF(OR(H37="Nein",H37="No",H37="nein",H37="no"),'Intern Neu'!$A$2*100+ROW(C10),D37)</f>
        <v/>
      </c>
      <c r="D37" s="25" t="str">
        <f>IF(E37="","",IF(H37="Nein","",MAX(D$1:D36)+1))</f>
        <v/>
      </c>
      <c r="E37" s="9"/>
      <c r="F37" s="9"/>
      <c r="G37" s="37"/>
      <c r="H37" s="8" t="str">
        <f t="shared" si="2"/>
        <v/>
      </c>
    </row>
    <row r="38" spans="3:14" x14ac:dyDescent="0.3">
      <c r="C38" s="10" t="str">
        <f>IF(OR(H38="Nein",H38="No",H38="nein",H38="no"),'Intern Neu'!$A$2*100+ROW(C11),D38)</f>
        <v/>
      </c>
      <c r="D38" s="25" t="str">
        <f>IF(E38="","",IF(H38="Nein","",MAX(D$1:D37)+1))</f>
        <v/>
      </c>
      <c r="E38" s="9"/>
      <c r="F38" s="9"/>
      <c r="G38" s="37"/>
      <c r="H38" s="8" t="str">
        <f t="shared" si="2"/>
        <v/>
      </c>
    </row>
    <row r="39" spans="3:14" x14ac:dyDescent="0.3">
      <c r="C39" s="10" t="str">
        <f>IF(OR(H39="Nein",H39="No",H39="nein",H39="no"),'Intern Neu'!$A$2*100+ROW(C12),D39)</f>
        <v/>
      </c>
      <c r="D39" s="25" t="str">
        <f>IF(E39="","",IF(H39="Nein","",MAX(D$1:D38)+1))</f>
        <v/>
      </c>
      <c r="E39" s="9"/>
      <c r="F39" s="9"/>
      <c r="G39" s="37"/>
      <c r="H39" s="8" t="str">
        <f t="shared" si="2"/>
        <v/>
      </c>
    </row>
    <row r="40" spans="3:14" x14ac:dyDescent="0.3">
      <c r="C40" s="10" t="str">
        <f>IF(OR(H40="Nein",H40="No",H40="nein",H40="no"),'Intern Neu'!$A$2*100+ROW(C13),D40)</f>
        <v/>
      </c>
      <c r="D40" s="25" t="str">
        <f>IF(E40="","",IF(H40="Nein","",MAX(D$1:D39)+1))</f>
        <v/>
      </c>
      <c r="E40" s="9"/>
      <c r="F40" s="9"/>
      <c r="G40" s="37"/>
      <c r="H40" s="8" t="str">
        <f t="shared" si="2"/>
        <v/>
      </c>
    </row>
    <row r="41" spans="3:14" x14ac:dyDescent="0.3">
      <c r="C41" s="10" t="str">
        <f>IF(OR(H41="Nein",H41="No",H41="nein",H41="no"),'Intern Neu'!$A$2*100+ROW(C14),D41)</f>
        <v/>
      </c>
      <c r="D41" s="25" t="str">
        <f>IF(E41="","",IF(H41="Nein","",MAX(D$1:D40)+1))</f>
        <v/>
      </c>
      <c r="E41" s="9"/>
      <c r="F41" s="9"/>
      <c r="G41" s="37"/>
      <c r="H41" s="8" t="str">
        <f t="shared" si="2"/>
        <v/>
      </c>
    </row>
    <row r="42" spans="3:14" x14ac:dyDescent="0.3">
      <c r="C42" s="10" t="str">
        <f>IF(OR(H42="Nein",H42="No",H42="nein",H42="no"),'Intern Neu'!$A$2*100+ROW(C15),D42)</f>
        <v/>
      </c>
      <c r="D42" s="25" t="str">
        <f>IF(E42="","",IF(H42="Nein","",MAX(D$1:D41)+1))</f>
        <v/>
      </c>
      <c r="E42" s="9"/>
      <c r="F42" s="9"/>
      <c r="G42" s="37"/>
      <c r="H42" s="8" t="str">
        <f t="shared" si="2"/>
        <v/>
      </c>
    </row>
    <row r="43" spans="3:14" x14ac:dyDescent="0.3">
      <c r="C43" s="10" t="str">
        <f>IF(OR(H43="Nein",H43="No",H43="nein",H43="no"),'Intern Neu'!$A$2*100+ROW(C16),D43)</f>
        <v/>
      </c>
      <c r="D43" s="25" t="str">
        <f>IF(E43="","",IF(H43="Nein","",MAX(D$1:D42)+1))</f>
        <v/>
      </c>
      <c r="E43" s="9"/>
      <c r="F43" s="9"/>
      <c r="G43" s="37"/>
      <c r="H43" s="8" t="str">
        <f t="shared" si="2"/>
        <v/>
      </c>
    </row>
    <row r="44" spans="3:14" x14ac:dyDescent="0.3">
      <c r="C44" s="10" t="str">
        <f>IF(OR(H44="Nein",H44="No",H44="nein",H44="no"),'Intern Neu'!$A$2*100+ROW(C17),D44)</f>
        <v/>
      </c>
      <c r="D44" s="25" t="str">
        <f>IF(E44="","",IF(H44="Nein","",MAX(D$1:D43)+1))</f>
        <v/>
      </c>
      <c r="E44" s="9"/>
      <c r="F44" s="9"/>
      <c r="G44" s="37"/>
      <c r="H44" s="8" t="str">
        <f t="shared" si="2"/>
        <v/>
      </c>
    </row>
    <row r="45" spans="3:14" x14ac:dyDescent="0.3">
      <c r="C45" s="10" t="str">
        <f>IF(OR(H45="Nein",H45="No",H45="nein",H45="no"),'Intern Neu'!$A$2*100+ROW(C18),D45)</f>
        <v/>
      </c>
      <c r="D45" s="25" t="str">
        <f>IF(E45="","",IF(H45="Nein","",MAX(D$1:D44)+1))</f>
        <v/>
      </c>
      <c r="E45" s="9"/>
      <c r="F45" s="9"/>
      <c r="G45" s="37"/>
      <c r="H45" s="8" t="str">
        <f t="shared" si="2"/>
        <v/>
      </c>
    </row>
    <row r="46" spans="3:14" x14ac:dyDescent="0.3">
      <c r="C46" s="10" t="str">
        <f>IF(OR(H46="Nein",H46="No",H46="nein",H46="no"),'Intern Neu'!$A$2*100+ROW(C19),D46)</f>
        <v/>
      </c>
      <c r="D46" s="25" t="str">
        <f>IF(E46="","",IF(H46="Nein","",MAX(D$1:D45)+1))</f>
        <v/>
      </c>
      <c r="E46" s="9"/>
      <c r="F46" s="9"/>
      <c r="G46" s="37"/>
      <c r="H46" s="8" t="str">
        <f t="shared" si="2"/>
        <v/>
      </c>
    </row>
    <row r="47" spans="3:14" x14ac:dyDescent="0.3">
      <c r="C47" s="10" t="str">
        <f>IF(OR(H47="Nein",H47="No",H47="nein",H47="no"),'Intern Neu'!$A$2*100+ROW(C20),D47)</f>
        <v/>
      </c>
      <c r="D47" s="25" t="str">
        <f>IF(E47="","",IF(H47="Nein","",MAX(D$1:D46)+1))</f>
        <v/>
      </c>
      <c r="E47" s="9"/>
      <c r="F47" s="9"/>
      <c r="G47" s="37"/>
      <c r="H47" s="8" t="str">
        <f t="shared" si="2"/>
        <v/>
      </c>
    </row>
    <row r="49" spans="5:5" x14ac:dyDescent="0.3">
      <c r="E49" t="str">
        <f>IF(Englisch&lt;&gt;"","Please fill also in the clubs of partners.","Hinweis: Hier auch die Vereine von Doppel- oder Mixedpartnern aufführen.")</f>
        <v>Hinweis: Hier auch die Vereine von Doppel- oder Mixedpartnern aufführen.</v>
      </c>
    </row>
  </sheetData>
  <sheetProtection algorithmName="SHA-512" hashValue="7ViY+N5Kx5KgYkIlq3gStqyHympDBAakK0jtOBYv/Nudl2bUnMb7E+ikSl43wLagbSh8ZqNOt4heYj3LS4ZaMg==" saltValue="9DlMIXh9ozW7KrNPcY6seA==" spinCount="100000" sheet="1" pivotTables="0"/>
  <mergeCells count="5">
    <mergeCell ref="L33:M35"/>
    <mergeCell ref="E3:E4"/>
    <mergeCell ref="F3:F4"/>
    <mergeCell ref="G3:G4"/>
    <mergeCell ref="H3:H4"/>
  </mergeCells>
  <conditionalFormatting sqref="E28:H47">
    <cfRule type="expression" dxfId="22" priority="5">
      <formula>$E$2&lt;&gt;""</formula>
    </cfRule>
  </conditionalFormatting>
  <conditionalFormatting sqref="J28:J35">
    <cfRule type="expression" dxfId="21" priority="3">
      <formula>$E$2&lt;&gt;""</formula>
    </cfRule>
  </conditionalFormatting>
  <conditionalFormatting sqref="K28:K29 K34:K35">
    <cfRule type="expression" dxfId="20" priority="1">
      <formula>K28=""</formula>
    </cfRule>
  </conditionalFormatting>
  <dataValidations disablePrompts="1" count="3">
    <dataValidation type="list" allowBlank="1" showInputMessage="1" showErrorMessage="1" errorTitle="Landesverband" error="Bitte den Landesverband eingeben." sqref="G28:G47" xr:uid="{96076A30-5CDA-438C-B56C-C3CB9A4974EC}">
      <formula1>$G$5:$G$27</formula1>
    </dataValidation>
    <dataValidation type="textLength" allowBlank="1" showInputMessage="1" showErrorMessage="1" errorTitle="Kürzel" error="Das Kürzel soll drei bis acht Zeichen haben. Vielen Dank." sqref="F28:F47" xr:uid="{9FEE8D6A-2649-4104-A9CC-F3F81BACF756}">
      <formula1>3</formula1>
      <formula2>8</formula2>
    </dataValidation>
    <dataValidation type="list" allowBlank="1" showInputMessage="1" showErrorMessage="1" sqref="H28:H47" xr:uid="{2985CA00-031B-44D9-ABE9-169DF169E2FD}">
      <formula1>$N$28:$N$34</formula1>
    </dataValidation>
  </dataValidations>
  <pageMargins left="0.7" right="0.7" top="0.78740157499999996" bottom="0.78740157499999996" header="0.3" footer="0.3"/>
  <pageSetup paperSize="9" orientation="portrait"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90722-AD49-40AB-9E2C-6B87DBC5FE3C}">
  <sheetPr codeName="Tabelle3"/>
  <dimension ref="A1:AG156"/>
  <sheetViews>
    <sheetView showGridLines="0" showRowColHeaders="0" zoomScaleNormal="100" workbookViewId="0">
      <pane xSplit="12" ySplit="80" topLeftCell="M81" activePane="bottomRight" state="frozen"/>
      <selection pane="topRight" activeCell="M1" sqref="M1"/>
      <selection pane="bottomLeft" activeCell="A81" sqref="A81"/>
      <selection pane="bottomRight" activeCell="G81" sqref="G81"/>
    </sheetView>
  </sheetViews>
  <sheetFormatPr baseColWidth="10" defaultRowHeight="14.4" x14ac:dyDescent="0.3"/>
  <cols>
    <col min="1" max="1" width="0.88671875" customWidth="1"/>
    <col min="2" max="2" width="4.6640625" style="10" hidden="1" customWidth="1"/>
    <col min="3" max="3" width="10.6640625" style="10" hidden="1" customWidth="1"/>
    <col min="4" max="6" width="4.6640625" style="10" hidden="1" customWidth="1"/>
    <col min="7" max="8" width="15.6640625" style="1" customWidth="1"/>
    <col min="9" max="9" width="5.109375" style="4" bestFit="1" customWidth="1"/>
    <col min="10" max="10" width="11.6640625" style="4" customWidth="1"/>
    <col min="11" max="11" width="4.5546875" style="4" bestFit="1" customWidth="1"/>
    <col min="12" max="12" width="6.44140625" style="4" bestFit="1" customWidth="1"/>
    <col min="13" max="13" width="20.6640625" style="5" customWidth="1"/>
    <col min="14" max="14" width="14.88671875" style="5" bestFit="1" customWidth="1"/>
    <col min="15" max="15" width="5.6640625" style="20" customWidth="1"/>
    <col min="16" max="16" width="8.5546875" style="20" customWidth="1"/>
    <col min="17" max="17" width="5.6640625" style="20" customWidth="1"/>
    <col min="18" max="18" width="6.6640625" style="20" customWidth="1"/>
    <col min="19" max="19" width="10.44140625" style="4" bestFit="1" customWidth="1"/>
    <col min="20" max="20" width="20.6640625" customWidth="1"/>
    <col min="21" max="21" width="4.6640625" customWidth="1"/>
    <col min="22" max="22" width="2.109375" bestFit="1" customWidth="1"/>
    <col min="23" max="23" width="20.6640625" customWidth="1"/>
    <col min="24" max="24" width="4.6640625" customWidth="1"/>
    <col min="25" max="25" width="2.109375" bestFit="1" customWidth="1"/>
    <col min="26" max="26" width="60.6640625" customWidth="1"/>
    <col min="27" max="27" width="15.6640625" style="4" hidden="1" customWidth="1"/>
    <col min="28" max="29" width="15.6640625" hidden="1" customWidth="1"/>
    <col min="30" max="31" width="2.6640625" customWidth="1"/>
  </cols>
  <sheetData>
    <row r="1" spans="2:33" ht="18" x14ac:dyDescent="0.35">
      <c r="G1" s="27" t="str">
        <f>IF(Englisch&lt;&gt;"","Participants","Teilnehmende")</f>
        <v>Teilnehmende</v>
      </c>
      <c r="H1" s="12"/>
      <c r="I1" s="12"/>
      <c r="J1" s="12"/>
      <c r="K1" s="12"/>
      <c r="L1" s="12"/>
      <c r="M1" s="12"/>
      <c r="N1" s="12"/>
      <c r="O1" s="19"/>
      <c r="P1" s="19"/>
      <c r="Q1" s="19"/>
      <c r="R1" s="19"/>
      <c r="S1" s="12"/>
      <c r="T1" s="12"/>
      <c r="U1" s="12"/>
      <c r="V1" s="12"/>
      <c r="W1" s="12"/>
      <c r="X1" s="12"/>
      <c r="Y1" s="12"/>
      <c r="Z1" s="12"/>
    </row>
    <row r="2" spans="2:33" ht="18" x14ac:dyDescent="0.35">
      <c r="G2" s="100" t="str">
        <f>IF(COUNTIF(A81:A83,"Vertauscht")&gt;0,IF(Englisch&lt;&gt;"","Please type first name first and last name second.     ","Bitte zuerst Vorname und dann Nachname.     
"),"")&amp;
IF(Z81&amp;Z82&amp;Z83&amp;Z84&amp;Z85&amp;Z86&amp;Z87&amp;Z88&amp;Z89&amp;Z90&amp;Z91&amp;Z92&amp;Z93&amp;Z94&amp;Z95&amp;Z96&amp;Z97&amp;Z98&amp;Z99&amp;Z100="","",
IF(Englisch&lt;&gt;"","Curious about red cells? Scroll to the right. We have an explanation for you.","Erläuterungen zu den rot hinterlegten Zellen findest Du rechts neben den Mixedpartnern."))</f>
        <v/>
      </c>
      <c r="H2" s="100"/>
      <c r="I2" s="100"/>
      <c r="J2" s="100"/>
      <c r="K2" s="100"/>
      <c r="L2" s="100"/>
      <c r="M2" s="100"/>
      <c r="N2" s="100"/>
      <c r="O2" s="100"/>
      <c r="P2" s="100"/>
      <c r="Q2" s="100"/>
      <c r="R2" s="100"/>
      <c r="S2" s="100"/>
      <c r="T2" s="100"/>
      <c r="U2" s="100"/>
      <c r="V2" s="100"/>
      <c r="W2" s="100"/>
      <c r="X2" s="100"/>
      <c r="Y2" s="100"/>
      <c r="Z2" s="100"/>
    </row>
    <row r="3" spans="2:33" s="2" customFormat="1" ht="24.9" customHeight="1" x14ac:dyDescent="0.3">
      <c r="B3" s="105" t="s">
        <v>40</v>
      </c>
      <c r="C3" s="105"/>
      <c r="D3" s="105"/>
      <c r="E3" s="105"/>
      <c r="F3" s="105"/>
      <c r="G3" s="96" t="str">
        <f>IF(Englisch&lt;&gt;"","First name","Vorname")</f>
        <v>Vorname</v>
      </c>
      <c r="H3" s="110" t="str">
        <f>IF(Englisch&lt;&gt;"","Last name","Nachname")</f>
        <v>Nachname</v>
      </c>
      <c r="I3" s="112" t="str">
        <f>IF(Englisch="","m/w","m or
w (f)")</f>
        <v>m/w</v>
      </c>
      <c r="J3" s="112" t="str">
        <f>IF(Englisch&lt;&gt;"","Date of birth","Geburtstag")</f>
        <v>Geburtstag</v>
      </c>
      <c r="K3" s="23"/>
      <c r="L3" s="112" t="str">
        <f>IF(Englisch&lt;&gt;"","Level","Spiel-
klasse")</f>
        <v>Spiel-
klasse</v>
      </c>
      <c r="M3" s="6"/>
      <c r="N3" s="115" t="str">
        <f>IF(Englisch&lt;&gt;"","Player ID
turnier.de
(if available)","Spielernummer
Turnier.de
(wenn vorhanden)")</f>
        <v>Spielernummer
Turnier.de
(wenn vorhanden)</v>
      </c>
      <c r="O3" s="117" t="str">
        <f>IF(Englisch&lt;&gt;"","Denmark Rankings 2025/26","Dänemark Rangliste 2025/26")</f>
        <v>Dänemark Rangliste 2025/26</v>
      </c>
      <c r="P3" s="118"/>
      <c r="Q3" s="118"/>
      <c r="R3" s="119"/>
      <c r="S3" s="120" t="str">
        <f>IF(Englisch&lt;&gt;"","Start in singles (SG)","Teilnahme
im Einzel")</f>
        <v>Teilnahme
im Einzel</v>
      </c>
      <c r="T3" s="101" t="str">
        <f>IF(Englisch&lt;&gt;"","Partner in doubles","Doppelpartner/in")</f>
        <v>Doppelpartner/in</v>
      </c>
      <c r="U3" s="106"/>
      <c r="V3" s="107"/>
      <c r="W3" s="101" t="str">
        <f>IF(Englisch&lt;&gt;"","Partner in mixed","Mixedpartner/in")</f>
        <v>Mixedpartner/in</v>
      </c>
      <c r="X3" s="106"/>
      <c r="Y3" s="107"/>
      <c r="Z3" s="103" t="str">
        <f>IF(Englisch&lt;&gt;"","Please note…","Hinweise")</f>
        <v>Hinweise</v>
      </c>
      <c r="AA3" s="3"/>
    </row>
    <row r="4" spans="2:33" s="2" customFormat="1" ht="24.9" customHeight="1" x14ac:dyDescent="0.3">
      <c r="B4" s="29" t="s">
        <v>41</v>
      </c>
      <c r="C4" s="29" t="s">
        <v>42</v>
      </c>
      <c r="D4" s="29" t="s">
        <v>3</v>
      </c>
      <c r="E4" s="29" t="s">
        <v>4</v>
      </c>
      <c r="F4" s="29" t="s">
        <v>5</v>
      </c>
      <c r="G4" s="96"/>
      <c r="H4" s="111"/>
      <c r="I4" s="113"/>
      <c r="J4" s="113"/>
      <c r="K4" s="24" t="s">
        <v>37</v>
      </c>
      <c r="L4" s="114"/>
      <c r="M4" s="7" t="str">
        <f>IF(Englisch&lt;&gt;"","Club","Verein")</f>
        <v>Verein</v>
      </c>
      <c r="N4" s="116"/>
      <c r="O4" s="65" t="str">
        <f>IF(Englisch&lt;&gt;"","in DK
age","in DK
Alter")</f>
        <v>in DK
Alter</v>
      </c>
      <c r="P4" s="64" t="str">
        <f>IF(Englisch&lt;&gt;"","Number of player","Spieler- nummer")</f>
        <v>Spieler- nummer</v>
      </c>
      <c r="Q4" s="65" t="str">
        <f>IF(Englisch&lt;&gt;"","Level","Spiel-
Klasse")</f>
        <v>Spiel-
Klasse</v>
      </c>
      <c r="R4" s="18" t="str">
        <f>IF(Englisch&lt;&gt;"","Points","Punkte")</f>
        <v>Punkte</v>
      </c>
      <c r="S4" s="121"/>
      <c r="T4" s="102"/>
      <c r="U4" s="108"/>
      <c r="V4" s="109"/>
      <c r="W4" s="102"/>
      <c r="X4" s="108"/>
      <c r="Y4" s="109"/>
      <c r="Z4" s="104"/>
      <c r="AA4" s="3" t="s">
        <v>52</v>
      </c>
      <c r="AB4" s="3" t="s">
        <v>53</v>
      </c>
    </row>
    <row r="5" spans="2:33" s="13" customFormat="1" ht="15" hidden="1" customHeight="1" x14ac:dyDescent="0.3">
      <c r="F5" s="13" t="str">
        <f>$G81&amp;" "&amp;$H81</f>
        <v xml:space="preserve"> </v>
      </c>
      <c r="G5" s="68" t="str">
        <f t="shared" ref="G5:H5" si="0">IF(G81="","",G81)</f>
        <v/>
      </c>
      <c r="H5" s="13" t="str">
        <f t="shared" si="0"/>
        <v/>
      </c>
      <c r="I5" s="14" t="str">
        <f>IF(I81="","",I81)</f>
        <v/>
      </c>
      <c r="J5" s="14" t="str">
        <f t="shared" ref="J5:M5" si="1">IF(J81="","",J81)</f>
        <v/>
      </c>
      <c r="K5" s="14" t="str">
        <f t="shared" ref="K5" si="2">IF(K81="","",K81)</f>
        <v/>
      </c>
      <c r="L5" s="14" t="str">
        <f t="shared" si="1"/>
        <v/>
      </c>
      <c r="M5" s="15" t="str">
        <f t="shared" si="1"/>
        <v/>
      </c>
      <c r="N5" s="69"/>
      <c r="O5" s="38"/>
      <c r="P5" s="14"/>
      <c r="Q5" s="14"/>
      <c r="R5" s="32"/>
      <c r="S5" s="49"/>
      <c r="T5" s="70" t="str">
        <f>$G81&amp;" "&amp;$H81</f>
        <v xml:space="preserve"> </v>
      </c>
      <c r="U5" s="17"/>
      <c r="V5" s="17"/>
      <c r="W5" s="17" t="str">
        <f>$G81&amp;" "&amp;$H81</f>
        <v xml:space="preserve"> </v>
      </c>
      <c r="X5" s="17"/>
      <c r="Y5" s="50"/>
      <c r="Z5" s="16"/>
      <c r="AA5" s="14">
        <f>T81</f>
        <v>0</v>
      </c>
      <c r="AB5" s="14">
        <f t="shared" ref="AB5:AB68" si="3">W81</f>
        <v>0</v>
      </c>
      <c r="AC5" s="13" t="str">
        <f t="shared" ref="AC5:AC36" si="4">F5</f>
        <v xml:space="preserve"> </v>
      </c>
      <c r="AD5" s="13" t="str">
        <f t="shared" ref="AD5:AD36" si="5">C81</f>
        <v/>
      </c>
    </row>
    <row r="6" spans="2:33" s="13" customFormat="1" ht="15" hidden="1" customHeight="1" x14ac:dyDescent="0.3">
      <c r="F6" s="13" t="str">
        <f t="shared" ref="F6:F69" si="6">$G82&amp;" "&amp;$H82</f>
        <v xml:space="preserve"> </v>
      </c>
      <c r="G6" s="68" t="str">
        <f t="shared" ref="G6:H6" si="7">IF(G82="","",G82)</f>
        <v/>
      </c>
      <c r="H6" s="13" t="str">
        <f t="shared" si="7"/>
        <v/>
      </c>
      <c r="I6" s="14" t="str">
        <f t="shared" ref="I6:M6" si="8">IF(I82="","",I82)</f>
        <v/>
      </c>
      <c r="J6" s="14" t="str">
        <f t="shared" si="8"/>
        <v/>
      </c>
      <c r="K6" s="14" t="str">
        <f t="shared" si="8"/>
        <v/>
      </c>
      <c r="L6" s="14" t="str">
        <f t="shared" si="8"/>
        <v/>
      </c>
      <c r="M6" s="15" t="str">
        <f t="shared" si="8"/>
        <v/>
      </c>
      <c r="N6" s="69"/>
      <c r="O6" s="38"/>
      <c r="P6" s="14"/>
      <c r="Q6" s="14"/>
      <c r="R6" s="32"/>
      <c r="S6" s="49"/>
      <c r="T6" s="70" t="str">
        <f t="shared" ref="T6:W6" si="9">$G82&amp;" "&amp;$H82</f>
        <v xml:space="preserve"> </v>
      </c>
      <c r="U6" s="17"/>
      <c r="V6" s="17"/>
      <c r="W6" s="17" t="str">
        <f t="shared" si="9"/>
        <v xml:space="preserve"> </v>
      </c>
      <c r="X6" s="17"/>
      <c r="Y6" s="50"/>
      <c r="Z6" s="16"/>
      <c r="AA6" s="14" t="str">
        <f t="shared" ref="AA6:AA69" si="10">T82</f>
        <v/>
      </c>
      <c r="AB6" s="14" t="str">
        <f t="shared" si="3"/>
        <v/>
      </c>
      <c r="AC6" s="13" t="str">
        <f t="shared" si="4"/>
        <v xml:space="preserve"> </v>
      </c>
      <c r="AD6" s="13" t="str">
        <f t="shared" si="5"/>
        <v/>
      </c>
      <c r="AE6" s="13" t="str">
        <f t="shared" ref="AE6:AE37" si="11">D82</f>
        <v/>
      </c>
      <c r="AF6" s="13" t="str">
        <f t="shared" ref="AF6:AF37" si="12">E82</f>
        <v/>
      </c>
      <c r="AG6" s="13" t="str">
        <f t="shared" ref="AG6:AG37" si="13">F82</f>
        <v/>
      </c>
    </row>
    <row r="7" spans="2:33" s="13" customFormat="1" ht="15" hidden="1" customHeight="1" x14ac:dyDescent="0.3">
      <c r="F7" s="13" t="str">
        <f t="shared" si="6"/>
        <v xml:space="preserve"> </v>
      </c>
      <c r="G7" s="68" t="str">
        <f t="shared" ref="G7:H7" si="14">IF(G83="","",G83)</f>
        <v/>
      </c>
      <c r="H7" s="13" t="str">
        <f t="shared" si="14"/>
        <v/>
      </c>
      <c r="I7" s="14" t="str">
        <f t="shared" ref="I7:M7" si="15">IF(I83="","",I83)</f>
        <v/>
      </c>
      <c r="J7" s="14" t="str">
        <f t="shared" si="15"/>
        <v/>
      </c>
      <c r="K7" s="14" t="str">
        <f t="shared" si="15"/>
        <v/>
      </c>
      <c r="L7" s="14" t="str">
        <f t="shared" si="15"/>
        <v/>
      </c>
      <c r="M7" s="15" t="str">
        <f t="shared" si="15"/>
        <v/>
      </c>
      <c r="N7" s="69"/>
      <c r="O7" s="38"/>
      <c r="P7" s="14"/>
      <c r="Q7" s="14"/>
      <c r="R7" s="32"/>
      <c r="S7" s="49"/>
      <c r="T7" s="70" t="str">
        <f t="shared" ref="T7:W7" si="16">$G83&amp;" "&amp;$H83</f>
        <v xml:space="preserve"> </v>
      </c>
      <c r="U7" s="17"/>
      <c r="V7" s="17"/>
      <c r="W7" s="17" t="str">
        <f t="shared" si="16"/>
        <v xml:space="preserve"> </v>
      </c>
      <c r="X7" s="17"/>
      <c r="Y7" s="50"/>
      <c r="Z7" s="16"/>
      <c r="AA7" s="14" t="str">
        <f t="shared" si="10"/>
        <v/>
      </c>
      <c r="AB7" s="14" t="str">
        <f t="shared" si="3"/>
        <v/>
      </c>
      <c r="AC7" s="13" t="str">
        <f t="shared" si="4"/>
        <v xml:space="preserve"> </v>
      </c>
      <c r="AD7" s="13" t="str">
        <f t="shared" si="5"/>
        <v/>
      </c>
      <c r="AE7" s="13" t="str">
        <f t="shared" si="11"/>
        <v/>
      </c>
      <c r="AF7" s="13" t="str">
        <f t="shared" si="12"/>
        <v/>
      </c>
      <c r="AG7" s="13" t="str">
        <f t="shared" si="13"/>
        <v/>
      </c>
    </row>
    <row r="8" spans="2:33" s="13" customFormat="1" ht="15" hidden="1" customHeight="1" x14ac:dyDescent="0.3">
      <c r="F8" s="13" t="str">
        <f t="shared" si="6"/>
        <v xml:space="preserve"> </v>
      </c>
      <c r="G8" s="68" t="str">
        <f t="shared" ref="G8:H8" si="17">IF(G84="","",G84)</f>
        <v/>
      </c>
      <c r="H8" s="13" t="str">
        <f t="shared" si="17"/>
        <v/>
      </c>
      <c r="I8" s="14" t="str">
        <f t="shared" ref="I8:M8" si="18">IF(I84="","",I84)</f>
        <v/>
      </c>
      <c r="J8" s="14" t="str">
        <f t="shared" si="18"/>
        <v/>
      </c>
      <c r="K8" s="14" t="str">
        <f t="shared" si="18"/>
        <v/>
      </c>
      <c r="L8" s="14" t="str">
        <f t="shared" si="18"/>
        <v/>
      </c>
      <c r="M8" s="15" t="str">
        <f t="shared" si="18"/>
        <v/>
      </c>
      <c r="N8" s="69"/>
      <c r="O8" s="38"/>
      <c r="P8" s="14"/>
      <c r="Q8" s="14"/>
      <c r="R8" s="32"/>
      <c r="S8" s="49"/>
      <c r="T8" s="70" t="str">
        <f t="shared" ref="T8:W8" si="19">$G84&amp;" "&amp;$H84</f>
        <v xml:space="preserve"> </v>
      </c>
      <c r="U8" s="17"/>
      <c r="V8" s="17"/>
      <c r="W8" s="17" t="str">
        <f t="shared" si="19"/>
        <v xml:space="preserve"> </v>
      </c>
      <c r="X8" s="17"/>
      <c r="Y8" s="50"/>
      <c r="Z8" s="16"/>
      <c r="AA8" s="14" t="str">
        <f t="shared" si="10"/>
        <v/>
      </c>
      <c r="AB8" s="14" t="str">
        <f t="shared" si="3"/>
        <v/>
      </c>
      <c r="AC8" s="13" t="str">
        <f t="shared" si="4"/>
        <v xml:space="preserve"> </v>
      </c>
      <c r="AD8" s="13" t="str">
        <f t="shared" si="5"/>
        <v/>
      </c>
      <c r="AE8" s="13" t="str">
        <f t="shared" si="11"/>
        <v/>
      </c>
      <c r="AF8" s="13" t="str">
        <f t="shared" si="12"/>
        <v/>
      </c>
      <c r="AG8" s="13" t="str">
        <f t="shared" si="13"/>
        <v/>
      </c>
    </row>
    <row r="9" spans="2:33" s="13" customFormat="1" ht="15" hidden="1" customHeight="1" x14ac:dyDescent="0.3">
      <c r="F9" s="13" t="str">
        <f t="shared" si="6"/>
        <v xml:space="preserve"> </v>
      </c>
      <c r="G9" s="68" t="str">
        <f t="shared" ref="G9:H9" si="20">IF(G85="","",G85)</f>
        <v/>
      </c>
      <c r="H9" s="13" t="str">
        <f t="shared" si="20"/>
        <v/>
      </c>
      <c r="I9" s="14" t="str">
        <f t="shared" ref="I9:M9" si="21">IF(I85="","",I85)</f>
        <v/>
      </c>
      <c r="J9" s="14" t="str">
        <f t="shared" si="21"/>
        <v/>
      </c>
      <c r="K9" s="14" t="str">
        <f t="shared" si="21"/>
        <v/>
      </c>
      <c r="L9" s="14" t="str">
        <f t="shared" si="21"/>
        <v/>
      </c>
      <c r="M9" s="15" t="str">
        <f t="shared" si="21"/>
        <v/>
      </c>
      <c r="N9" s="69"/>
      <c r="O9" s="38"/>
      <c r="P9" s="14"/>
      <c r="Q9" s="14"/>
      <c r="R9" s="32"/>
      <c r="S9" s="49"/>
      <c r="T9" s="70" t="str">
        <f t="shared" ref="T9:W9" si="22">$G85&amp;" "&amp;$H85</f>
        <v xml:space="preserve"> </v>
      </c>
      <c r="U9" s="17"/>
      <c r="V9" s="17"/>
      <c r="W9" s="17" t="str">
        <f t="shared" si="22"/>
        <v xml:space="preserve"> </v>
      </c>
      <c r="X9" s="17"/>
      <c r="Y9" s="50"/>
      <c r="Z9" s="16"/>
      <c r="AA9" s="14" t="str">
        <f t="shared" si="10"/>
        <v/>
      </c>
      <c r="AB9" s="14" t="str">
        <f t="shared" si="3"/>
        <v/>
      </c>
      <c r="AC9" s="13" t="str">
        <f t="shared" si="4"/>
        <v xml:space="preserve"> </v>
      </c>
      <c r="AD9" s="13" t="str">
        <f t="shared" si="5"/>
        <v/>
      </c>
      <c r="AE9" s="13" t="str">
        <f t="shared" si="11"/>
        <v/>
      </c>
      <c r="AF9" s="13" t="str">
        <f t="shared" si="12"/>
        <v/>
      </c>
      <c r="AG9" s="13" t="str">
        <f t="shared" si="13"/>
        <v/>
      </c>
    </row>
    <row r="10" spans="2:33" s="13" customFormat="1" ht="15" hidden="1" customHeight="1" x14ac:dyDescent="0.3">
      <c r="F10" s="13" t="str">
        <f t="shared" si="6"/>
        <v xml:space="preserve"> </v>
      </c>
      <c r="G10" s="68" t="str">
        <f t="shared" ref="G10:H10" si="23">IF(G86="","",G86)</f>
        <v/>
      </c>
      <c r="H10" s="13" t="str">
        <f t="shared" si="23"/>
        <v/>
      </c>
      <c r="I10" s="14" t="str">
        <f t="shared" ref="I10:M10" si="24">IF(I86="","",I86)</f>
        <v/>
      </c>
      <c r="J10" s="14" t="str">
        <f t="shared" si="24"/>
        <v/>
      </c>
      <c r="K10" s="14" t="str">
        <f t="shared" si="24"/>
        <v/>
      </c>
      <c r="L10" s="14" t="str">
        <f t="shared" si="24"/>
        <v/>
      </c>
      <c r="M10" s="15" t="str">
        <f t="shared" si="24"/>
        <v/>
      </c>
      <c r="N10" s="69"/>
      <c r="O10" s="38"/>
      <c r="P10" s="14"/>
      <c r="Q10" s="14"/>
      <c r="R10" s="32"/>
      <c r="S10" s="49"/>
      <c r="T10" s="70" t="str">
        <f t="shared" ref="T10:W10" si="25">$G86&amp;" "&amp;$H86</f>
        <v xml:space="preserve"> </v>
      </c>
      <c r="U10" s="17"/>
      <c r="V10" s="17"/>
      <c r="W10" s="17" t="str">
        <f t="shared" si="25"/>
        <v xml:space="preserve"> </v>
      </c>
      <c r="X10" s="17"/>
      <c r="Y10" s="50"/>
      <c r="Z10" s="16"/>
      <c r="AA10" s="14" t="str">
        <f t="shared" si="10"/>
        <v/>
      </c>
      <c r="AB10" s="14" t="str">
        <f t="shared" si="3"/>
        <v/>
      </c>
      <c r="AC10" s="13" t="str">
        <f t="shared" si="4"/>
        <v xml:space="preserve"> </v>
      </c>
      <c r="AD10" s="13" t="str">
        <f t="shared" si="5"/>
        <v/>
      </c>
      <c r="AE10" s="13" t="str">
        <f t="shared" si="11"/>
        <v/>
      </c>
      <c r="AF10" s="13" t="str">
        <f t="shared" si="12"/>
        <v/>
      </c>
      <c r="AG10" s="13" t="str">
        <f t="shared" si="13"/>
        <v/>
      </c>
    </row>
    <row r="11" spans="2:33" s="13" customFormat="1" ht="15" hidden="1" customHeight="1" x14ac:dyDescent="0.3">
      <c r="F11" s="13" t="str">
        <f t="shared" si="6"/>
        <v xml:space="preserve"> </v>
      </c>
      <c r="G11" s="68" t="str">
        <f t="shared" ref="G11:H11" si="26">IF(G87="","",G87)</f>
        <v/>
      </c>
      <c r="H11" s="13" t="str">
        <f t="shared" si="26"/>
        <v/>
      </c>
      <c r="I11" s="14" t="str">
        <f t="shared" ref="I11:M11" si="27">IF(I87="","",I87)</f>
        <v/>
      </c>
      <c r="J11" s="14" t="str">
        <f t="shared" si="27"/>
        <v/>
      </c>
      <c r="K11" s="14" t="str">
        <f t="shared" si="27"/>
        <v/>
      </c>
      <c r="L11" s="14" t="str">
        <f t="shared" si="27"/>
        <v/>
      </c>
      <c r="M11" s="15" t="str">
        <f t="shared" si="27"/>
        <v/>
      </c>
      <c r="N11" s="69"/>
      <c r="O11" s="38"/>
      <c r="P11" s="14"/>
      <c r="Q11" s="14"/>
      <c r="R11" s="32"/>
      <c r="S11" s="49"/>
      <c r="T11" s="70" t="str">
        <f t="shared" ref="T11:W11" si="28">$G87&amp;" "&amp;$H87</f>
        <v xml:space="preserve"> </v>
      </c>
      <c r="U11" s="17"/>
      <c r="V11" s="17"/>
      <c r="W11" s="17" t="str">
        <f t="shared" si="28"/>
        <v xml:space="preserve"> </v>
      </c>
      <c r="X11" s="17"/>
      <c r="Y11" s="50"/>
      <c r="Z11" s="16"/>
      <c r="AA11" s="14" t="str">
        <f t="shared" si="10"/>
        <v/>
      </c>
      <c r="AB11" s="14" t="str">
        <f t="shared" si="3"/>
        <v/>
      </c>
      <c r="AC11" s="13" t="str">
        <f t="shared" si="4"/>
        <v xml:space="preserve"> </v>
      </c>
      <c r="AD11" s="13" t="str">
        <f t="shared" si="5"/>
        <v/>
      </c>
      <c r="AE11" s="13" t="str">
        <f t="shared" si="11"/>
        <v/>
      </c>
      <c r="AF11" s="13" t="str">
        <f t="shared" si="12"/>
        <v/>
      </c>
      <c r="AG11" s="13" t="str">
        <f t="shared" si="13"/>
        <v/>
      </c>
    </row>
    <row r="12" spans="2:33" s="13" customFormat="1" ht="15" hidden="1" customHeight="1" x14ac:dyDescent="0.3">
      <c r="F12" s="13" t="str">
        <f t="shared" si="6"/>
        <v xml:space="preserve"> </v>
      </c>
      <c r="G12" s="68" t="str">
        <f t="shared" ref="G12:H12" si="29">IF(G88="","",G88)</f>
        <v/>
      </c>
      <c r="H12" s="13" t="str">
        <f t="shared" si="29"/>
        <v/>
      </c>
      <c r="I12" s="14" t="str">
        <f t="shared" ref="I12:M12" si="30">IF(I88="","",I88)</f>
        <v/>
      </c>
      <c r="J12" s="14" t="str">
        <f t="shared" si="30"/>
        <v/>
      </c>
      <c r="K12" s="14" t="str">
        <f t="shared" si="30"/>
        <v/>
      </c>
      <c r="L12" s="14" t="str">
        <f t="shared" si="30"/>
        <v/>
      </c>
      <c r="M12" s="15" t="str">
        <f t="shared" si="30"/>
        <v/>
      </c>
      <c r="N12" s="69"/>
      <c r="O12" s="38"/>
      <c r="P12" s="14"/>
      <c r="Q12" s="14"/>
      <c r="R12" s="32"/>
      <c r="S12" s="49"/>
      <c r="T12" s="70" t="str">
        <f t="shared" ref="T12:W12" si="31">$G88&amp;" "&amp;$H88</f>
        <v xml:space="preserve"> </v>
      </c>
      <c r="U12" s="17"/>
      <c r="V12" s="17"/>
      <c r="W12" s="17" t="str">
        <f t="shared" si="31"/>
        <v xml:space="preserve"> </v>
      </c>
      <c r="X12" s="17"/>
      <c r="Y12" s="50"/>
      <c r="Z12" s="16"/>
      <c r="AA12" s="14" t="str">
        <f t="shared" si="10"/>
        <v/>
      </c>
      <c r="AB12" s="14" t="str">
        <f t="shared" si="3"/>
        <v/>
      </c>
      <c r="AC12" s="13" t="str">
        <f t="shared" si="4"/>
        <v xml:space="preserve"> </v>
      </c>
      <c r="AD12" s="13" t="str">
        <f t="shared" si="5"/>
        <v/>
      </c>
      <c r="AE12" s="13" t="str">
        <f t="shared" si="11"/>
        <v/>
      </c>
      <c r="AF12" s="13" t="str">
        <f t="shared" si="12"/>
        <v/>
      </c>
      <c r="AG12" s="13" t="str">
        <f t="shared" si="13"/>
        <v/>
      </c>
    </row>
    <row r="13" spans="2:33" s="13" customFormat="1" ht="15" hidden="1" customHeight="1" x14ac:dyDescent="0.3">
      <c r="F13" s="13" t="str">
        <f t="shared" si="6"/>
        <v xml:space="preserve"> </v>
      </c>
      <c r="G13" s="68" t="str">
        <f t="shared" ref="G13:H13" si="32">IF(G89="","",G89)</f>
        <v/>
      </c>
      <c r="H13" s="13" t="str">
        <f t="shared" si="32"/>
        <v/>
      </c>
      <c r="I13" s="14" t="str">
        <f t="shared" ref="I13:M13" si="33">IF(I89="","",I89)</f>
        <v/>
      </c>
      <c r="J13" s="14" t="str">
        <f t="shared" si="33"/>
        <v/>
      </c>
      <c r="K13" s="14" t="str">
        <f t="shared" si="33"/>
        <v/>
      </c>
      <c r="L13" s="14" t="str">
        <f t="shared" si="33"/>
        <v/>
      </c>
      <c r="M13" s="15" t="str">
        <f t="shared" si="33"/>
        <v/>
      </c>
      <c r="N13" s="69"/>
      <c r="O13" s="38"/>
      <c r="P13" s="14"/>
      <c r="Q13" s="14"/>
      <c r="R13" s="32"/>
      <c r="S13" s="49"/>
      <c r="T13" s="70" t="str">
        <f t="shared" ref="T13:W13" si="34">$G89&amp;" "&amp;$H89</f>
        <v xml:space="preserve"> </v>
      </c>
      <c r="U13" s="17"/>
      <c r="V13" s="17"/>
      <c r="W13" s="17" t="str">
        <f t="shared" si="34"/>
        <v xml:space="preserve"> </v>
      </c>
      <c r="X13" s="17"/>
      <c r="Y13" s="50"/>
      <c r="Z13" s="16"/>
      <c r="AA13" s="14" t="str">
        <f t="shared" si="10"/>
        <v/>
      </c>
      <c r="AB13" s="14" t="str">
        <f t="shared" si="3"/>
        <v/>
      </c>
      <c r="AC13" s="13" t="str">
        <f t="shared" si="4"/>
        <v xml:space="preserve"> </v>
      </c>
      <c r="AD13" s="13" t="str">
        <f t="shared" si="5"/>
        <v/>
      </c>
      <c r="AE13" s="13" t="str">
        <f t="shared" si="11"/>
        <v/>
      </c>
      <c r="AF13" s="13" t="str">
        <f t="shared" si="12"/>
        <v/>
      </c>
      <c r="AG13" s="13" t="str">
        <f t="shared" si="13"/>
        <v/>
      </c>
    </row>
    <row r="14" spans="2:33" s="13" customFormat="1" ht="15" hidden="1" customHeight="1" x14ac:dyDescent="0.3">
      <c r="F14" s="13" t="str">
        <f t="shared" si="6"/>
        <v xml:space="preserve"> </v>
      </c>
      <c r="G14" s="68" t="str">
        <f t="shared" ref="G14:H14" si="35">IF(G90="","",G90)</f>
        <v/>
      </c>
      <c r="H14" s="13" t="str">
        <f t="shared" si="35"/>
        <v/>
      </c>
      <c r="I14" s="14" t="str">
        <f t="shared" ref="I14:M14" si="36">IF(I90="","",I90)</f>
        <v/>
      </c>
      <c r="J14" s="14" t="str">
        <f t="shared" si="36"/>
        <v/>
      </c>
      <c r="K14" s="14" t="str">
        <f t="shared" si="36"/>
        <v/>
      </c>
      <c r="L14" s="14" t="str">
        <f t="shared" si="36"/>
        <v/>
      </c>
      <c r="M14" s="15" t="str">
        <f t="shared" si="36"/>
        <v/>
      </c>
      <c r="N14" s="69"/>
      <c r="O14" s="38"/>
      <c r="P14" s="14"/>
      <c r="Q14" s="14"/>
      <c r="R14" s="32"/>
      <c r="S14" s="49"/>
      <c r="T14" s="70" t="str">
        <f t="shared" ref="T14:W14" si="37">$G90&amp;" "&amp;$H90</f>
        <v xml:space="preserve"> </v>
      </c>
      <c r="U14" s="17"/>
      <c r="V14" s="17"/>
      <c r="W14" s="17" t="str">
        <f t="shared" si="37"/>
        <v xml:space="preserve"> </v>
      </c>
      <c r="X14" s="17"/>
      <c r="Y14" s="50"/>
      <c r="Z14" s="16"/>
      <c r="AA14" s="14" t="str">
        <f t="shared" si="10"/>
        <v/>
      </c>
      <c r="AB14" s="14" t="str">
        <f t="shared" si="3"/>
        <v/>
      </c>
      <c r="AC14" s="13" t="str">
        <f t="shared" si="4"/>
        <v xml:space="preserve"> </v>
      </c>
      <c r="AD14" s="13" t="str">
        <f t="shared" si="5"/>
        <v/>
      </c>
      <c r="AE14" s="13" t="str">
        <f t="shared" si="11"/>
        <v/>
      </c>
      <c r="AF14" s="13" t="str">
        <f t="shared" si="12"/>
        <v/>
      </c>
      <c r="AG14" s="13" t="str">
        <f t="shared" si="13"/>
        <v/>
      </c>
    </row>
    <row r="15" spans="2:33" s="13" customFormat="1" ht="15" hidden="1" customHeight="1" x14ac:dyDescent="0.3">
      <c r="F15" s="13" t="str">
        <f t="shared" si="6"/>
        <v xml:space="preserve"> </v>
      </c>
      <c r="G15" s="68" t="str">
        <f t="shared" ref="G15:H15" si="38">IF(G91="","",G91)</f>
        <v/>
      </c>
      <c r="H15" s="13" t="str">
        <f t="shared" si="38"/>
        <v/>
      </c>
      <c r="I15" s="14" t="str">
        <f t="shared" ref="I15:M15" si="39">IF(I91="","",I91)</f>
        <v/>
      </c>
      <c r="J15" s="14" t="str">
        <f t="shared" si="39"/>
        <v/>
      </c>
      <c r="K15" s="14" t="str">
        <f t="shared" si="39"/>
        <v/>
      </c>
      <c r="L15" s="14" t="str">
        <f t="shared" si="39"/>
        <v/>
      </c>
      <c r="M15" s="15" t="str">
        <f t="shared" si="39"/>
        <v/>
      </c>
      <c r="N15" s="69"/>
      <c r="O15" s="38"/>
      <c r="P15" s="14"/>
      <c r="Q15" s="14"/>
      <c r="R15" s="32"/>
      <c r="S15" s="49"/>
      <c r="T15" s="70" t="str">
        <f t="shared" ref="T15:W15" si="40">$G91&amp;" "&amp;$H91</f>
        <v xml:space="preserve"> </v>
      </c>
      <c r="U15" s="17"/>
      <c r="V15" s="17"/>
      <c r="W15" s="17" t="str">
        <f t="shared" si="40"/>
        <v xml:space="preserve"> </v>
      </c>
      <c r="X15" s="17"/>
      <c r="Y15" s="50"/>
      <c r="Z15" s="16"/>
      <c r="AA15" s="14" t="str">
        <f t="shared" si="10"/>
        <v/>
      </c>
      <c r="AB15" s="14" t="str">
        <f t="shared" si="3"/>
        <v/>
      </c>
      <c r="AC15" s="13" t="str">
        <f t="shared" si="4"/>
        <v xml:space="preserve"> </v>
      </c>
      <c r="AD15" s="13" t="str">
        <f t="shared" si="5"/>
        <v/>
      </c>
      <c r="AE15" s="13" t="str">
        <f t="shared" si="11"/>
        <v/>
      </c>
      <c r="AF15" s="13" t="str">
        <f t="shared" si="12"/>
        <v/>
      </c>
      <c r="AG15" s="13" t="str">
        <f t="shared" si="13"/>
        <v/>
      </c>
    </row>
    <row r="16" spans="2:33" s="13" customFormat="1" hidden="1" x14ac:dyDescent="0.3">
      <c r="F16" s="13" t="str">
        <f t="shared" si="6"/>
        <v xml:space="preserve"> </v>
      </c>
      <c r="G16" s="68" t="str">
        <f t="shared" ref="G16:H16" si="41">IF(G92="","",G92)</f>
        <v/>
      </c>
      <c r="H16" s="13" t="str">
        <f t="shared" si="41"/>
        <v/>
      </c>
      <c r="I16" s="14" t="str">
        <f t="shared" ref="I16:M16" si="42">IF(I92="","",I92)</f>
        <v/>
      </c>
      <c r="J16" s="14" t="str">
        <f t="shared" si="42"/>
        <v/>
      </c>
      <c r="K16" s="14" t="str">
        <f t="shared" si="42"/>
        <v/>
      </c>
      <c r="L16" s="14" t="str">
        <f t="shared" si="42"/>
        <v/>
      </c>
      <c r="M16" s="15" t="str">
        <f t="shared" si="42"/>
        <v/>
      </c>
      <c r="N16" s="69"/>
      <c r="O16" s="38"/>
      <c r="P16" s="14"/>
      <c r="Q16" s="14"/>
      <c r="R16" s="32"/>
      <c r="S16" s="49"/>
      <c r="T16" s="70" t="str">
        <f t="shared" ref="T16:W16" si="43">$G92&amp;" "&amp;$H92</f>
        <v xml:space="preserve"> </v>
      </c>
      <c r="U16" s="17"/>
      <c r="V16" s="17"/>
      <c r="W16" s="17" t="str">
        <f t="shared" si="43"/>
        <v xml:space="preserve"> </v>
      </c>
      <c r="X16" s="17"/>
      <c r="Y16" s="50"/>
      <c r="Z16" s="16"/>
      <c r="AA16" s="14" t="str">
        <f t="shared" si="10"/>
        <v/>
      </c>
      <c r="AB16" s="14" t="str">
        <f t="shared" si="3"/>
        <v/>
      </c>
      <c r="AC16" s="13" t="str">
        <f t="shared" si="4"/>
        <v xml:space="preserve"> </v>
      </c>
      <c r="AD16" s="13" t="str">
        <f t="shared" si="5"/>
        <v/>
      </c>
      <c r="AE16" s="13" t="str">
        <f t="shared" si="11"/>
        <v/>
      </c>
      <c r="AF16" s="13" t="str">
        <f t="shared" si="12"/>
        <v/>
      </c>
      <c r="AG16" s="13" t="str">
        <f t="shared" si="13"/>
        <v/>
      </c>
    </row>
    <row r="17" spans="6:33" s="13" customFormat="1" hidden="1" x14ac:dyDescent="0.3">
      <c r="F17" s="13" t="str">
        <f t="shared" si="6"/>
        <v xml:space="preserve"> </v>
      </c>
      <c r="G17" s="68" t="str">
        <f t="shared" ref="G17:H17" si="44">IF(G93="","",G93)</f>
        <v/>
      </c>
      <c r="H17" s="13" t="str">
        <f t="shared" si="44"/>
        <v/>
      </c>
      <c r="I17" s="14" t="str">
        <f t="shared" ref="I17:M17" si="45">IF(I93="","",I93)</f>
        <v/>
      </c>
      <c r="J17" s="14" t="str">
        <f t="shared" si="45"/>
        <v/>
      </c>
      <c r="K17" s="14" t="str">
        <f t="shared" si="45"/>
        <v/>
      </c>
      <c r="L17" s="14" t="str">
        <f t="shared" si="45"/>
        <v/>
      </c>
      <c r="M17" s="15" t="str">
        <f t="shared" si="45"/>
        <v/>
      </c>
      <c r="N17" s="69"/>
      <c r="O17" s="38"/>
      <c r="P17" s="14"/>
      <c r="Q17" s="14"/>
      <c r="R17" s="32"/>
      <c r="S17" s="49"/>
      <c r="T17" s="70" t="str">
        <f t="shared" ref="T17:W17" si="46">$G93&amp;" "&amp;$H93</f>
        <v xml:space="preserve"> </v>
      </c>
      <c r="U17" s="17"/>
      <c r="V17" s="17"/>
      <c r="W17" s="17" t="str">
        <f t="shared" si="46"/>
        <v xml:space="preserve"> </v>
      </c>
      <c r="X17" s="17"/>
      <c r="Y17" s="50"/>
      <c r="Z17" s="16"/>
      <c r="AA17" s="14" t="str">
        <f t="shared" si="10"/>
        <v/>
      </c>
      <c r="AB17" s="14" t="str">
        <f t="shared" si="3"/>
        <v/>
      </c>
      <c r="AC17" s="13" t="str">
        <f t="shared" si="4"/>
        <v xml:space="preserve"> </v>
      </c>
      <c r="AD17" s="13" t="str">
        <f t="shared" si="5"/>
        <v/>
      </c>
      <c r="AE17" s="13" t="str">
        <f t="shared" si="11"/>
        <v/>
      </c>
      <c r="AF17" s="13" t="str">
        <f t="shared" si="12"/>
        <v/>
      </c>
      <c r="AG17" s="13" t="str">
        <f t="shared" si="13"/>
        <v/>
      </c>
    </row>
    <row r="18" spans="6:33" s="13" customFormat="1" hidden="1" x14ac:dyDescent="0.3">
      <c r="F18" s="13" t="str">
        <f t="shared" si="6"/>
        <v xml:space="preserve"> </v>
      </c>
      <c r="G18" s="68" t="str">
        <f t="shared" ref="G18:H18" si="47">IF(G94="","",G94)</f>
        <v/>
      </c>
      <c r="H18" s="13" t="str">
        <f t="shared" si="47"/>
        <v/>
      </c>
      <c r="I18" s="14" t="str">
        <f t="shared" ref="I18:M18" si="48">IF(I94="","",I94)</f>
        <v/>
      </c>
      <c r="J18" s="14" t="str">
        <f t="shared" si="48"/>
        <v/>
      </c>
      <c r="K18" s="14" t="str">
        <f t="shared" si="48"/>
        <v/>
      </c>
      <c r="L18" s="14" t="str">
        <f t="shared" si="48"/>
        <v/>
      </c>
      <c r="M18" s="15" t="str">
        <f t="shared" si="48"/>
        <v/>
      </c>
      <c r="N18" s="69"/>
      <c r="O18" s="38"/>
      <c r="P18" s="14"/>
      <c r="Q18" s="14"/>
      <c r="R18" s="32"/>
      <c r="S18" s="49"/>
      <c r="T18" s="70" t="str">
        <f t="shared" ref="T18:W18" si="49">$G94&amp;" "&amp;$H94</f>
        <v xml:space="preserve"> </v>
      </c>
      <c r="U18" s="17"/>
      <c r="V18" s="17"/>
      <c r="W18" s="17" t="str">
        <f t="shared" si="49"/>
        <v xml:space="preserve"> </v>
      </c>
      <c r="X18" s="17"/>
      <c r="Y18" s="50"/>
      <c r="Z18" s="16"/>
      <c r="AA18" s="14" t="str">
        <f t="shared" si="10"/>
        <v/>
      </c>
      <c r="AB18" s="14" t="str">
        <f t="shared" si="3"/>
        <v/>
      </c>
      <c r="AC18" s="13" t="str">
        <f t="shared" si="4"/>
        <v xml:space="preserve"> </v>
      </c>
      <c r="AD18" s="13" t="str">
        <f t="shared" si="5"/>
        <v/>
      </c>
      <c r="AE18" s="13" t="str">
        <f t="shared" si="11"/>
        <v/>
      </c>
      <c r="AF18" s="13" t="str">
        <f t="shared" si="12"/>
        <v/>
      </c>
      <c r="AG18" s="13" t="str">
        <f t="shared" si="13"/>
        <v/>
      </c>
    </row>
    <row r="19" spans="6:33" s="13" customFormat="1" hidden="1" x14ac:dyDescent="0.3">
      <c r="F19" s="13" t="str">
        <f t="shared" si="6"/>
        <v xml:space="preserve"> </v>
      </c>
      <c r="G19" s="68" t="str">
        <f t="shared" ref="G19:H19" si="50">IF(G95="","",G95)</f>
        <v/>
      </c>
      <c r="H19" s="13" t="str">
        <f t="shared" si="50"/>
        <v/>
      </c>
      <c r="I19" s="14" t="str">
        <f t="shared" ref="I19:M19" si="51">IF(I95="","",I95)</f>
        <v/>
      </c>
      <c r="J19" s="14" t="str">
        <f t="shared" si="51"/>
        <v/>
      </c>
      <c r="K19" s="14" t="str">
        <f t="shared" si="51"/>
        <v/>
      </c>
      <c r="L19" s="14" t="str">
        <f t="shared" si="51"/>
        <v/>
      </c>
      <c r="M19" s="15" t="str">
        <f t="shared" si="51"/>
        <v/>
      </c>
      <c r="N19" s="69"/>
      <c r="O19" s="38"/>
      <c r="P19" s="14"/>
      <c r="Q19" s="14"/>
      <c r="R19" s="32"/>
      <c r="S19" s="49"/>
      <c r="T19" s="70" t="str">
        <f t="shared" ref="T19:W19" si="52">$G95&amp;" "&amp;$H95</f>
        <v xml:space="preserve"> </v>
      </c>
      <c r="U19" s="17"/>
      <c r="V19" s="17"/>
      <c r="W19" s="17" t="str">
        <f t="shared" si="52"/>
        <v xml:space="preserve"> </v>
      </c>
      <c r="X19" s="17"/>
      <c r="Y19" s="50"/>
      <c r="Z19" s="16"/>
      <c r="AA19" s="14" t="str">
        <f t="shared" si="10"/>
        <v/>
      </c>
      <c r="AB19" s="14" t="str">
        <f t="shared" si="3"/>
        <v/>
      </c>
      <c r="AC19" s="13" t="str">
        <f t="shared" si="4"/>
        <v xml:space="preserve"> </v>
      </c>
      <c r="AD19" s="13" t="str">
        <f t="shared" si="5"/>
        <v/>
      </c>
      <c r="AE19" s="13" t="str">
        <f t="shared" si="11"/>
        <v/>
      </c>
      <c r="AF19" s="13" t="str">
        <f t="shared" si="12"/>
        <v/>
      </c>
      <c r="AG19" s="13" t="str">
        <f t="shared" si="13"/>
        <v/>
      </c>
    </row>
    <row r="20" spans="6:33" s="13" customFormat="1" hidden="1" x14ac:dyDescent="0.3">
      <c r="F20" s="13" t="str">
        <f t="shared" si="6"/>
        <v xml:space="preserve"> </v>
      </c>
      <c r="G20" s="68" t="str">
        <f t="shared" ref="G20:H20" si="53">IF(G96="","",G96)</f>
        <v/>
      </c>
      <c r="H20" s="13" t="str">
        <f t="shared" si="53"/>
        <v/>
      </c>
      <c r="I20" s="14" t="str">
        <f t="shared" ref="I20:M20" si="54">IF(I96="","",I96)</f>
        <v/>
      </c>
      <c r="J20" s="14" t="str">
        <f t="shared" si="54"/>
        <v/>
      </c>
      <c r="K20" s="14" t="str">
        <f t="shared" si="54"/>
        <v/>
      </c>
      <c r="L20" s="14" t="str">
        <f t="shared" si="54"/>
        <v/>
      </c>
      <c r="M20" s="15" t="str">
        <f t="shared" si="54"/>
        <v/>
      </c>
      <c r="N20" s="69"/>
      <c r="O20" s="38"/>
      <c r="P20" s="14"/>
      <c r="Q20" s="14"/>
      <c r="R20" s="32"/>
      <c r="S20" s="49"/>
      <c r="T20" s="70" t="str">
        <f t="shared" ref="T20:W20" si="55">$G96&amp;" "&amp;$H96</f>
        <v xml:space="preserve"> </v>
      </c>
      <c r="U20" s="17"/>
      <c r="V20" s="17"/>
      <c r="W20" s="17" t="str">
        <f t="shared" si="55"/>
        <v xml:space="preserve"> </v>
      </c>
      <c r="X20" s="17"/>
      <c r="Y20" s="50"/>
      <c r="Z20" s="16"/>
      <c r="AA20" s="14" t="str">
        <f t="shared" si="10"/>
        <v/>
      </c>
      <c r="AB20" s="14" t="str">
        <f t="shared" si="3"/>
        <v/>
      </c>
      <c r="AC20" s="13" t="str">
        <f t="shared" si="4"/>
        <v xml:space="preserve"> </v>
      </c>
      <c r="AD20" s="13" t="str">
        <f t="shared" si="5"/>
        <v/>
      </c>
      <c r="AE20" s="13" t="str">
        <f t="shared" si="11"/>
        <v/>
      </c>
      <c r="AF20" s="13" t="str">
        <f t="shared" si="12"/>
        <v/>
      </c>
      <c r="AG20" s="13" t="str">
        <f t="shared" si="13"/>
        <v/>
      </c>
    </row>
    <row r="21" spans="6:33" s="13" customFormat="1" hidden="1" x14ac:dyDescent="0.3">
      <c r="F21" s="13" t="str">
        <f t="shared" si="6"/>
        <v xml:space="preserve"> </v>
      </c>
      <c r="G21" s="68" t="str">
        <f t="shared" ref="G21:H21" si="56">IF(G97="","",G97)</f>
        <v/>
      </c>
      <c r="H21" s="13" t="str">
        <f t="shared" si="56"/>
        <v/>
      </c>
      <c r="I21" s="14" t="str">
        <f t="shared" ref="I21:M21" si="57">IF(I97="","",I97)</f>
        <v/>
      </c>
      <c r="J21" s="14" t="str">
        <f t="shared" si="57"/>
        <v/>
      </c>
      <c r="K21" s="14" t="str">
        <f t="shared" si="57"/>
        <v/>
      </c>
      <c r="L21" s="14" t="str">
        <f t="shared" si="57"/>
        <v/>
      </c>
      <c r="M21" s="15" t="str">
        <f t="shared" si="57"/>
        <v/>
      </c>
      <c r="N21" s="69"/>
      <c r="O21" s="38"/>
      <c r="P21" s="14"/>
      <c r="Q21" s="14"/>
      <c r="R21" s="32"/>
      <c r="S21" s="49"/>
      <c r="T21" s="70" t="str">
        <f t="shared" ref="T21:W21" si="58">$G97&amp;" "&amp;$H97</f>
        <v xml:space="preserve"> </v>
      </c>
      <c r="U21" s="17"/>
      <c r="V21" s="17"/>
      <c r="W21" s="17" t="str">
        <f t="shared" si="58"/>
        <v xml:space="preserve"> </v>
      </c>
      <c r="X21" s="17"/>
      <c r="Y21" s="50"/>
      <c r="Z21" s="16"/>
      <c r="AA21" s="14" t="str">
        <f t="shared" si="10"/>
        <v/>
      </c>
      <c r="AB21" s="14" t="str">
        <f t="shared" si="3"/>
        <v/>
      </c>
      <c r="AC21" s="13" t="str">
        <f t="shared" si="4"/>
        <v xml:space="preserve"> </v>
      </c>
      <c r="AD21" s="13" t="str">
        <f t="shared" si="5"/>
        <v/>
      </c>
      <c r="AE21" s="13" t="str">
        <f t="shared" si="11"/>
        <v/>
      </c>
      <c r="AF21" s="13" t="str">
        <f t="shared" si="12"/>
        <v/>
      </c>
      <c r="AG21" s="13" t="str">
        <f t="shared" si="13"/>
        <v/>
      </c>
    </row>
    <row r="22" spans="6:33" s="13" customFormat="1" hidden="1" x14ac:dyDescent="0.3">
      <c r="F22" s="13" t="str">
        <f t="shared" si="6"/>
        <v xml:space="preserve"> </v>
      </c>
      <c r="G22" s="68" t="str">
        <f t="shared" ref="G22:H22" si="59">IF(G98="","",G98)</f>
        <v/>
      </c>
      <c r="H22" s="13" t="str">
        <f t="shared" si="59"/>
        <v/>
      </c>
      <c r="I22" s="14" t="str">
        <f t="shared" ref="I22:M22" si="60">IF(I98="","",I98)</f>
        <v/>
      </c>
      <c r="J22" s="14" t="str">
        <f t="shared" si="60"/>
        <v/>
      </c>
      <c r="K22" s="14" t="str">
        <f t="shared" si="60"/>
        <v/>
      </c>
      <c r="L22" s="14" t="str">
        <f t="shared" si="60"/>
        <v/>
      </c>
      <c r="M22" s="15" t="str">
        <f t="shared" si="60"/>
        <v/>
      </c>
      <c r="N22" s="69"/>
      <c r="O22" s="38"/>
      <c r="P22" s="14"/>
      <c r="Q22" s="14"/>
      <c r="R22" s="32"/>
      <c r="S22" s="49"/>
      <c r="T22" s="70" t="str">
        <f t="shared" ref="T22:W22" si="61">$G98&amp;" "&amp;$H98</f>
        <v xml:space="preserve"> </v>
      </c>
      <c r="U22" s="17"/>
      <c r="V22" s="17"/>
      <c r="W22" s="17" t="str">
        <f t="shared" si="61"/>
        <v xml:space="preserve"> </v>
      </c>
      <c r="X22" s="17"/>
      <c r="Y22" s="50"/>
      <c r="Z22" s="16"/>
      <c r="AA22" s="14" t="str">
        <f t="shared" si="10"/>
        <v/>
      </c>
      <c r="AB22" s="14" t="str">
        <f t="shared" si="3"/>
        <v/>
      </c>
      <c r="AC22" s="13" t="str">
        <f t="shared" si="4"/>
        <v xml:space="preserve"> </v>
      </c>
      <c r="AD22" s="13" t="str">
        <f t="shared" si="5"/>
        <v/>
      </c>
      <c r="AE22" s="13" t="str">
        <f t="shared" si="11"/>
        <v/>
      </c>
      <c r="AF22" s="13" t="str">
        <f t="shared" si="12"/>
        <v/>
      </c>
      <c r="AG22" s="13" t="str">
        <f t="shared" si="13"/>
        <v/>
      </c>
    </row>
    <row r="23" spans="6:33" s="13" customFormat="1" hidden="1" x14ac:dyDescent="0.3">
      <c r="F23" s="13" t="str">
        <f t="shared" si="6"/>
        <v xml:space="preserve"> </v>
      </c>
      <c r="G23" s="68" t="str">
        <f t="shared" ref="G23:H23" si="62">IF(G99="","",G99)</f>
        <v/>
      </c>
      <c r="H23" s="13" t="str">
        <f t="shared" si="62"/>
        <v/>
      </c>
      <c r="I23" s="14" t="str">
        <f t="shared" ref="I23:M23" si="63">IF(I99="","",I99)</f>
        <v/>
      </c>
      <c r="J23" s="14" t="str">
        <f t="shared" si="63"/>
        <v/>
      </c>
      <c r="K23" s="14" t="str">
        <f t="shared" si="63"/>
        <v/>
      </c>
      <c r="L23" s="14" t="str">
        <f t="shared" si="63"/>
        <v/>
      </c>
      <c r="M23" s="15" t="str">
        <f t="shared" si="63"/>
        <v/>
      </c>
      <c r="N23" s="69"/>
      <c r="O23" s="38"/>
      <c r="P23" s="14"/>
      <c r="Q23" s="14"/>
      <c r="R23" s="32"/>
      <c r="S23" s="49"/>
      <c r="T23" s="70" t="str">
        <f t="shared" ref="T23:W23" si="64">$G99&amp;" "&amp;$H99</f>
        <v xml:space="preserve"> </v>
      </c>
      <c r="U23" s="17"/>
      <c r="V23" s="17"/>
      <c r="W23" s="17" t="str">
        <f t="shared" si="64"/>
        <v xml:space="preserve"> </v>
      </c>
      <c r="X23" s="17"/>
      <c r="Y23" s="50"/>
      <c r="Z23" s="16"/>
      <c r="AA23" s="14" t="str">
        <f t="shared" si="10"/>
        <v/>
      </c>
      <c r="AB23" s="14" t="str">
        <f t="shared" si="3"/>
        <v/>
      </c>
      <c r="AC23" s="13" t="str">
        <f t="shared" si="4"/>
        <v xml:space="preserve"> </v>
      </c>
      <c r="AD23" s="13" t="str">
        <f t="shared" si="5"/>
        <v/>
      </c>
      <c r="AE23" s="13" t="str">
        <f t="shared" si="11"/>
        <v/>
      </c>
      <c r="AF23" s="13" t="str">
        <f t="shared" si="12"/>
        <v/>
      </c>
      <c r="AG23" s="13" t="str">
        <f t="shared" si="13"/>
        <v/>
      </c>
    </row>
    <row r="24" spans="6:33" s="13" customFormat="1" hidden="1" x14ac:dyDescent="0.3">
      <c r="F24" s="13" t="str">
        <f t="shared" si="6"/>
        <v xml:space="preserve"> </v>
      </c>
      <c r="G24" s="68" t="str">
        <f t="shared" ref="G24:H24" si="65">IF(G100="","",G100)</f>
        <v/>
      </c>
      <c r="H24" s="13" t="str">
        <f t="shared" si="65"/>
        <v/>
      </c>
      <c r="I24" s="14" t="str">
        <f t="shared" ref="I24:M24" si="66">IF(I100="","",I100)</f>
        <v/>
      </c>
      <c r="J24" s="14" t="str">
        <f t="shared" si="66"/>
        <v/>
      </c>
      <c r="K24" s="14" t="str">
        <f t="shared" si="66"/>
        <v/>
      </c>
      <c r="L24" s="14" t="str">
        <f t="shared" si="66"/>
        <v/>
      </c>
      <c r="M24" s="15" t="str">
        <f t="shared" si="66"/>
        <v/>
      </c>
      <c r="N24" s="69"/>
      <c r="O24" s="38"/>
      <c r="P24" s="14"/>
      <c r="Q24" s="14"/>
      <c r="R24" s="32"/>
      <c r="S24" s="49"/>
      <c r="T24" s="70" t="str">
        <f t="shared" ref="T24:W24" si="67">$G100&amp;" "&amp;$H100</f>
        <v xml:space="preserve"> </v>
      </c>
      <c r="U24" s="17"/>
      <c r="V24" s="17"/>
      <c r="W24" s="17" t="str">
        <f t="shared" si="67"/>
        <v xml:space="preserve"> </v>
      </c>
      <c r="X24" s="17"/>
      <c r="Y24" s="50"/>
      <c r="Z24" s="16"/>
      <c r="AA24" s="14" t="str">
        <f t="shared" si="10"/>
        <v/>
      </c>
      <c r="AB24" s="14" t="str">
        <f t="shared" si="3"/>
        <v/>
      </c>
      <c r="AC24" s="13" t="str">
        <f t="shared" si="4"/>
        <v xml:space="preserve"> </v>
      </c>
      <c r="AD24" s="13" t="str">
        <f t="shared" si="5"/>
        <v/>
      </c>
      <c r="AE24" s="13" t="str">
        <f t="shared" si="11"/>
        <v/>
      </c>
      <c r="AF24" s="13" t="str">
        <f t="shared" si="12"/>
        <v/>
      </c>
      <c r="AG24" s="13" t="str">
        <f t="shared" si="13"/>
        <v/>
      </c>
    </row>
    <row r="25" spans="6:33" s="13" customFormat="1" hidden="1" x14ac:dyDescent="0.3">
      <c r="F25" s="13" t="str">
        <f t="shared" si="6"/>
        <v xml:space="preserve"> </v>
      </c>
      <c r="G25" s="68" t="str">
        <f t="shared" ref="G25:H25" si="68">IF(G101="","",G101)</f>
        <v/>
      </c>
      <c r="H25" s="13" t="str">
        <f t="shared" si="68"/>
        <v/>
      </c>
      <c r="I25" s="14" t="str">
        <f t="shared" ref="I25:M25" si="69">IF(I101="","",I101)</f>
        <v/>
      </c>
      <c r="J25" s="14" t="str">
        <f t="shared" si="69"/>
        <v/>
      </c>
      <c r="K25" s="14" t="str">
        <f t="shared" si="69"/>
        <v/>
      </c>
      <c r="L25" s="14" t="str">
        <f t="shared" si="69"/>
        <v/>
      </c>
      <c r="M25" s="15" t="str">
        <f t="shared" si="69"/>
        <v/>
      </c>
      <c r="N25" s="69"/>
      <c r="O25" s="38"/>
      <c r="P25" s="14"/>
      <c r="Q25" s="14"/>
      <c r="R25" s="32"/>
      <c r="S25" s="49"/>
      <c r="T25" s="70" t="str">
        <f t="shared" ref="T25:W25" si="70">$G101&amp;" "&amp;$H101</f>
        <v xml:space="preserve"> </v>
      </c>
      <c r="U25" s="17"/>
      <c r="V25" s="17"/>
      <c r="W25" s="17" t="str">
        <f t="shared" si="70"/>
        <v xml:space="preserve"> </v>
      </c>
      <c r="X25" s="17"/>
      <c r="Y25" s="50"/>
      <c r="Z25" s="16"/>
      <c r="AA25" s="14" t="str">
        <f t="shared" si="10"/>
        <v/>
      </c>
      <c r="AB25" s="14" t="str">
        <f t="shared" si="3"/>
        <v/>
      </c>
      <c r="AC25" s="13" t="str">
        <f t="shared" si="4"/>
        <v xml:space="preserve"> </v>
      </c>
      <c r="AD25" s="13" t="str">
        <f t="shared" si="5"/>
        <v/>
      </c>
      <c r="AE25" s="13" t="str">
        <f t="shared" si="11"/>
        <v/>
      </c>
      <c r="AF25" s="13" t="str">
        <f t="shared" si="12"/>
        <v/>
      </c>
      <c r="AG25" s="13" t="str">
        <f t="shared" si="13"/>
        <v/>
      </c>
    </row>
    <row r="26" spans="6:33" s="13" customFormat="1" hidden="1" x14ac:dyDescent="0.3">
      <c r="F26" s="13" t="str">
        <f t="shared" si="6"/>
        <v xml:space="preserve"> </v>
      </c>
      <c r="G26" s="68" t="str">
        <f t="shared" ref="G26:H26" si="71">IF(G102="","",G102)</f>
        <v/>
      </c>
      <c r="H26" s="13" t="str">
        <f t="shared" si="71"/>
        <v/>
      </c>
      <c r="I26" s="14" t="str">
        <f t="shared" ref="I26:M26" si="72">IF(I102="","",I102)</f>
        <v/>
      </c>
      <c r="J26" s="14" t="str">
        <f t="shared" si="72"/>
        <v/>
      </c>
      <c r="K26" s="14" t="str">
        <f t="shared" si="72"/>
        <v/>
      </c>
      <c r="L26" s="14" t="str">
        <f t="shared" si="72"/>
        <v/>
      </c>
      <c r="M26" s="15" t="str">
        <f t="shared" si="72"/>
        <v/>
      </c>
      <c r="N26" s="69"/>
      <c r="O26" s="38"/>
      <c r="P26" s="14"/>
      <c r="Q26" s="14"/>
      <c r="R26" s="32"/>
      <c r="S26" s="49"/>
      <c r="T26" s="70" t="str">
        <f t="shared" ref="T26:W26" si="73">$G102&amp;" "&amp;$H102</f>
        <v xml:space="preserve"> </v>
      </c>
      <c r="U26" s="17"/>
      <c r="V26" s="17"/>
      <c r="W26" s="17" t="str">
        <f t="shared" si="73"/>
        <v xml:space="preserve"> </v>
      </c>
      <c r="X26" s="17"/>
      <c r="Y26" s="50"/>
      <c r="Z26" s="16"/>
      <c r="AA26" s="14" t="str">
        <f t="shared" si="10"/>
        <v/>
      </c>
      <c r="AB26" s="14" t="str">
        <f t="shared" si="3"/>
        <v/>
      </c>
      <c r="AC26" s="13" t="str">
        <f t="shared" si="4"/>
        <v xml:space="preserve"> </v>
      </c>
      <c r="AD26" s="13" t="str">
        <f t="shared" si="5"/>
        <v/>
      </c>
      <c r="AE26" s="13" t="str">
        <f t="shared" si="11"/>
        <v/>
      </c>
      <c r="AF26" s="13" t="str">
        <f t="shared" si="12"/>
        <v/>
      </c>
      <c r="AG26" s="13" t="str">
        <f t="shared" si="13"/>
        <v/>
      </c>
    </row>
    <row r="27" spans="6:33" s="13" customFormat="1" hidden="1" x14ac:dyDescent="0.3">
      <c r="F27" s="13" t="str">
        <f t="shared" si="6"/>
        <v xml:space="preserve"> </v>
      </c>
      <c r="G27" s="68" t="str">
        <f t="shared" ref="G27:H27" si="74">IF(G103="","",G103)</f>
        <v/>
      </c>
      <c r="H27" s="13" t="str">
        <f t="shared" si="74"/>
        <v/>
      </c>
      <c r="I27" s="14" t="str">
        <f t="shared" ref="I27:M27" si="75">IF(I103="","",I103)</f>
        <v/>
      </c>
      <c r="J27" s="14" t="str">
        <f t="shared" si="75"/>
        <v/>
      </c>
      <c r="K27" s="14" t="str">
        <f t="shared" si="75"/>
        <v/>
      </c>
      <c r="L27" s="14" t="str">
        <f t="shared" si="75"/>
        <v/>
      </c>
      <c r="M27" s="15" t="str">
        <f t="shared" si="75"/>
        <v/>
      </c>
      <c r="N27" s="69"/>
      <c r="O27" s="38"/>
      <c r="P27" s="14"/>
      <c r="Q27" s="14"/>
      <c r="R27" s="32"/>
      <c r="S27" s="49"/>
      <c r="T27" s="70" t="str">
        <f t="shared" ref="T27:W27" si="76">$G103&amp;" "&amp;$H103</f>
        <v xml:space="preserve"> </v>
      </c>
      <c r="U27" s="17"/>
      <c r="V27" s="17"/>
      <c r="W27" s="17" t="str">
        <f t="shared" si="76"/>
        <v xml:space="preserve"> </v>
      </c>
      <c r="X27" s="17"/>
      <c r="Y27" s="50"/>
      <c r="Z27" s="16"/>
      <c r="AA27" s="14" t="str">
        <f t="shared" si="10"/>
        <v/>
      </c>
      <c r="AB27" s="14" t="str">
        <f t="shared" si="3"/>
        <v/>
      </c>
      <c r="AC27" s="13" t="str">
        <f t="shared" si="4"/>
        <v xml:space="preserve"> </v>
      </c>
      <c r="AD27" s="13" t="str">
        <f t="shared" si="5"/>
        <v/>
      </c>
      <c r="AE27" s="13" t="str">
        <f t="shared" si="11"/>
        <v/>
      </c>
      <c r="AF27" s="13" t="str">
        <f t="shared" si="12"/>
        <v/>
      </c>
      <c r="AG27" s="13" t="str">
        <f t="shared" si="13"/>
        <v/>
      </c>
    </row>
    <row r="28" spans="6:33" s="13" customFormat="1" hidden="1" x14ac:dyDescent="0.3">
      <c r="F28" s="13" t="str">
        <f t="shared" si="6"/>
        <v xml:space="preserve"> </v>
      </c>
      <c r="G28" s="68" t="str">
        <f t="shared" ref="G28:H28" si="77">IF(G104="","",G104)</f>
        <v/>
      </c>
      <c r="H28" s="13" t="str">
        <f t="shared" si="77"/>
        <v/>
      </c>
      <c r="I28" s="14" t="str">
        <f t="shared" ref="I28:M28" si="78">IF(I104="","",I104)</f>
        <v/>
      </c>
      <c r="J28" s="14" t="str">
        <f t="shared" si="78"/>
        <v/>
      </c>
      <c r="K28" s="14" t="str">
        <f t="shared" si="78"/>
        <v/>
      </c>
      <c r="L28" s="14" t="str">
        <f t="shared" si="78"/>
        <v/>
      </c>
      <c r="M28" s="15" t="str">
        <f t="shared" si="78"/>
        <v/>
      </c>
      <c r="N28" s="69"/>
      <c r="O28" s="38"/>
      <c r="P28" s="14"/>
      <c r="Q28" s="14"/>
      <c r="R28" s="32"/>
      <c r="S28" s="49"/>
      <c r="T28" s="70" t="str">
        <f t="shared" ref="T28:W28" si="79">$G104&amp;" "&amp;$H104</f>
        <v xml:space="preserve"> </v>
      </c>
      <c r="U28" s="17"/>
      <c r="V28" s="17"/>
      <c r="W28" s="17" t="str">
        <f t="shared" si="79"/>
        <v xml:space="preserve"> </v>
      </c>
      <c r="X28" s="17"/>
      <c r="Y28" s="50"/>
      <c r="Z28" s="16"/>
      <c r="AA28" s="14" t="str">
        <f t="shared" si="10"/>
        <v/>
      </c>
      <c r="AB28" s="14" t="str">
        <f t="shared" si="3"/>
        <v/>
      </c>
      <c r="AC28" s="13" t="str">
        <f t="shared" si="4"/>
        <v xml:space="preserve"> </v>
      </c>
      <c r="AD28" s="13" t="str">
        <f t="shared" si="5"/>
        <v/>
      </c>
      <c r="AE28" s="13" t="str">
        <f t="shared" si="11"/>
        <v/>
      </c>
      <c r="AF28" s="13" t="str">
        <f t="shared" si="12"/>
        <v/>
      </c>
      <c r="AG28" s="13" t="str">
        <f t="shared" si="13"/>
        <v/>
      </c>
    </row>
    <row r="29" spans="6:33" s="13" customFormat="1" hidden="1" x14ac:dyDescent="0.3">
      <c r="F29" s="13" t="str">
        <f t="shared" si="6"/>
        <v xml:space="preserve"> </v>
      </c>
      <c r="G29" s="68" t="str">
        <f t="shared" ref="G29:H29" si="80">IF(G105="","",G105)</f>
        <v/>
      </c>
      <c r="H29" s="13" t="str">
        <f t="shared" si="80"/>
        <v/>
      </c>
      <c r="I29" s="14" t="str">
        <f t="shared" ref="I29:M29" si="81">IF(I105="","",I105)</f>
        <v/>
      </c>
      <c r="J29" s="14" t="str">
        <f t="shared" si="81"/>
        <v/>
      </c>
      <c r="K29" s="14" t="str">
        <f t="shared" si="81"/>
        <v/>
      </c>
      <c r="L29" s="14" t="str">
        <f t="shared" si="81"/>
        <v/>
      </c>
      <c r="M29" s="15" t="str">
        <f t="shared" si="81"/>
        <v/>
      </c>
      <c r="N29" s="69"/>
      <c r="O29" s="38"/>
      <c r="P29" s="14"/>
      <c r="Q29" s="14"/>
      <c r="R29" s="32"/>
      <c r="S29" s="49"/>
      <c r="T29" s="70" t="str">
        <f t="shared" ref="T29:W29" si="82">$G105&amp;" "&amp;$H105</f>
        <v xml:space="preserve"> </v>
      </c>
      <c r="U29" s="17"/>
      <c r="V29" s="17"/>
      <c r="W29" s="17" t="str">
        <f t="shared" si="82"/>
        <v xml:space="preserve"> </v>
      </c>
      <c r="X29" s="17"/>
      <c r="Y29" s="50"/>
      <c r="Z29" s="16"/>
      <c r="AA29" s="14" t="str">
        <f t="shared" si="10"/>
        <v/>
      </c>
      <c r="AB29" s="14" t="str">
        <f t="shared" si="3"/>
        <v/>
      </c>
      <c r="AC29" s="13" t="str">
        <f t="shared" si="4"/>
        <v xml:space="preserve"> </v>
      </c>
      <c r="AD29" s="13" t="str">
        <f t="shared" si="5"/>
        <v/>
      </c>
      <c r="AE29" s="13" t="str">
        <f t="shared" si="11"/>
        <v/>
      </c>
      <c r="AF29" s="13" t="str">
        <f t="shared" si="12"/>
        <v/>
      </c>
      <c r="AG29" s="13" t="str">
        <f t="shared" si="13"/>
        <v/>
      </c>
    </row>
    <row r="30" spans="6:33" s="13" customFormat="1" hidden="1" x14ac:dyDescent="0.3">
      <c r="F30" s="13" t="str">
        <f t="shared" si="6"/>
        <v xml:space="preserve"> </v>
      </c>
      <c r="G30" s="68" t="str">
        <f t="shared" ref="G30:H30" si="83">IF(G106="","",G106)</f>
        <v/>
      </c>
      <c r="H30" s="13" t="str">
        <f t="shared" si="83"/>
        <v/>
      </c>
      <c r="I30" s="14" t="str">
        <f t="shared" ref="I30:M30" si="84">IF(I106="","",I106)</f>
        <v/>
      </c>
      <c r="J30" s="14" t="str">
        <f t="shared" si="84"/>
        <v/>
      </c>
      <c r="K30" s="14" t="str">
        <f t="shared" si="84"/>
        <v/>
      </c>
      <c r="L30" s="14" t="str">
        <f t="shared" si="84"/>
        <v/>
      </c>
      <c r="M30" s="15" t="str">
        <f t="shared" si="84"/>
        <v/>
      </c>
      <c r="N30" s="69"/>
      <c r="O30" s="38"/>
      <c r="P30" s="14"/>
      <c r="Q30" s="14"/>
      <c r="R30" s="32"/>
      <c r="S30" s="49"/>
      <c r="T30" s="70" t="str">
        <f t="shared" ref="T30:W30" si="85">$G106&amp;" "&amp;$H106</f>
        <v xml:space="preserve"> </v>
      </c>
      <c r="U30" s="17"/>
      <c r="V30" s="17"/>
      <c r="W30" s="17" t="str">
        <f t="shared" si="85"/>
        <v xml:space="preserve"> </v>
      </c>
      <c r="X30" s="17"/>
      <c r="Y30" s="50"/>
      <c r="Z30" s="16"/>
      <c r="AA30" s="14" t="str">
        <f t="shared" si="10"/>
        <v/>
      </c>
      <c r="AB30" s="14" t="str">
        <f t="shared" si="3"/>
        <v/>
      </c>
      <c r="AC30" s="13" t="str">
        <f t="shared" si="4"/>
        <v xml:space="preserve"> </v>
      </c>
      <c r="AD30" s="13" t="str">
        <f t="shared" si="5"/>
        <v/>
      </c>
      <c r="AE30" s="13" t="str">
        <f t="shared" si="11"/>
        <v/>
      </c>
      <c r="AF30" s="13" t="str">
        <f t="shared" si="12"/>
        <v/>
      </c>
      <c r="AG30" s="13" t="str">
        <f t="shared" si="13"/>
        <v/>
      </c>
    </row>
    <row r="31" spans="6:33" s="13" customFormat="1" hidden="1" x14ac:dyDescent="0.3">
      <c r="F31" s="13" t="str">
        <f t="shared" si="6"/>
        <v xml:space="preserve"> </v>
      </c>
      <c r="G31" s="68" t="str">
        <f t="shared" ref="G31:H31" si="86">IF(G107="","",G107)</f>
        <v/>
      </c>
      <c r="H31" s="13" t="str">
        <f t="shared" si="86"/>
        <v/>
      </c>
      <c r="I31" s="14" t="str">
        <f t="shared" ref="I31:M31" si="87">IF(I107="","",I107)</f>
        <v/>
      </c>
      <c r="J31" s="14" t="str">
        <f t="shared" si="87"/>
        <v/>
      </c>
      <c r="K31" s="14" t="str">
        <f t="shared" si="87"/>
        <v/>
      </c>
      <c r="L31" s="14" t="str">
        <f t="shared" si="87"/>
        <v/>
      </c>
      <c r="M31" s="15" t="str">
        <f t="shared" si="87"/>
        <v/>
      </c>
      <c r="N31" s="69"/>
      <c r="O31" s="38"/>
      <c r="P31" s="14"/>
      <c r="Q31" s="14"/>
      <c r="R31" s="32"/>
      <c r="S31" s="49"/>
      <c r="T31" s="70" t="str">
        <f t="shared" ref="T31:W31" si="88">$G107&amp;" "&amp;$H107</f>
        <v xml:space="preserve"> </v>
      </c>
      <c r="U31" s="17"/>
      <c r="V31" s="17"/>
      <c r="W31" s="17" t="str">
        <f t="shared" si="88"/>
        <v xml:space="preserve"> </v>
      </c>
      <c r="X31" s="17"/>
      <c r="Y31" s="50"/>
      <c r="Z31" s="16"/>
      <c r="AA31" s="14" t="str">
        <f t="shared" si="10"/>
        <v/>
      </c>
      <c r="AB31" s="14" t="str">
        <f t="shared" si="3"/>
        <v/>
      </c>
      <c r="AC31" s="13" t="str">
        <f t="shared" si="4"/>
        <v xml:space="preserve"> </v>
      </c>
      <c r="AD31" s="13" t="str">
        <f t="shared" si="5"/>
        <v/>
      </c>
      <c r="AE31" s="13" t="str">
        <f t="shared" si="11"/>
        <v/>
      </c>
      <c r="AF31" s="13" t="str">
        <f t="shared" si="12"/>
        <v/>
      </c>
      <c r="AG31" s="13" t="str">
        <f t="shared" si="13"/>
        <v/>
      </c>
    </row>
    <row r="32" spans="6:33" s="13" customFormat="1" hidden="1" x14ac:dyDescent="0.3">
      <c r="F32" s="13" t="str">
        <f t="shared" si="6"/>
        <v xml:space="preserve"> </v>
      </c>
      <c r="G32" s="68" t="str">
        <f t="shared" ref="G32:H32" si="89">IF(G108="","",G108)</f>
        <v/>
      </c>
      <c r="H32" s="13" t="str">
        <f t="shared" si="89"/>
        <v/>
      </c>
      <c r="I32" s="14" t="str">
        <f t="shared" ref="I32:M32" si="90">IF(I108="","",I108)</f>
        <v/>
      </c>
      <c r="J32" s="14" t="str">
        <f t="shared" si="90"/>
        <v/>
      </c>
      <c r="K32" s="14" t="str">
        <f t="shared" si="90"/>
        <v/>
      </c>
      <c r="L32" s="14" t="str">
        <f t="shared" si="90"/>
        <v/>
      </c>
      <c r="M32" s="15" t="str">
        <f t="shared" si="90"/>
        <v/>
      </c>
      <c r="N32" s="69"/>
      <c r="O32" s="38"/>
      <c r="P32" s="14"/>
      <c r="Q32" s="14"/>
      <c r="R32" s="32"/>
      <c r="S32" s="49"/>
      <c r="T32" s="70" t="str">
        <f t="shared" ref="T32:W32" si="91">$G108&amp;" "&amp;$H108</f>
        <v xml:space="preserve"> </v>
      </c>
      <c r="U32" s="17"/>
      <c r="V32" s="17"/>
      <c r="W32" s="17" t="str">
        <f t="shared" si="91"/>
        <v xml:space="preserve"> </v>
      </c>
      <c r="X32" s="17"/>
      <c r="Y32" s="50"/>
      <c r="Z32" s="16"/>
      <c r="AA32" s="14" t="str">
        <f t="shared" si="10"/>
        <v/>
      </c>
      <c r="AB32" s="14" t="str">
        <f t="shared" si="3"/>
        <v/>
      </c>
      <c r="AC32" s="13" t="str">
        <f t="shared" si="4"/>
        <v xml:space="preserve"> </v>
      </c>
      <c r="AD32" s="13" t="str">
        <f t="shared" si="5"/>
        <v/>
      </c>
      <c r="AE32" s="13" t="str">
        <f t="shared" si="11"/>
        <v/>
      </c>
      <c r="AF32" s="13" t="str">
        <f t="shared" si="12"/>
        <v/>
      </c>
      <c r="AG32" s="13" t="str">
        <f t="shared" si="13"/>
        <v/>
      </c>
    </row>
    <row r="33" spans="6:33" s="13" customFormat="1" hidden="1" x14ac:dyDescent="0.3">
      <c r="F33" s="13" t="str">
        <f t="shared" si="6"/>
        <v xml:space="preserve"> </v>
      </c>
      <c r="G33" s="68" t="str">
        <f t="shared" ref="G33:H33" si="92">IF(G109="","",G109)</f>
        <v/>
      </c>
      <c r="H33" s="13" t="str">
        <f t="shared" si="92"/>
        <v/>
      </c>
      <c r="I33" s="14" t="str">
        <f t="shared" ref="I33:M33" si="93">IF(I109="","",I109)</f>
        <v/>
      </c>
      <c r="J33" s="14" t="str">
        <f t="shared" si="93"/>
        <v/>
      </c>
      <c r="K33" s="14" t="str">
        <f t="shared" si="93"/>
        <v/>
      </c>
      <c r="L33" s="14" t="str">
        <f t="shared" si="93"/>
        <v/>
      </c>
      <c r="M33" s="15" t="str">
        <f t="shared" si="93"/>
        <v/>
      </c>
      <c r="N33" s="69"/>
      <c r="O33" s="38"/>
      <c r="P33" s="14"/>
      <c r="Q33" s="14"/>
      <c r="R33" s="32"/>
      <c r="S33" s="49"/>
      <c r="T33" s="70" t="str">
        <f t="shared" ref="T33:W33" si="94">$G109&amp;" "&amp;$H109</f>
        <v xml:space="preserve"> </v>
      </c>
      <c r="U33" s="17"/>
      <c r="V33" s="17"/>
      <c r="W33" s="17" t="str">
        <f t="shared" si="94"/>
        <v xml:space="preserve"> </v>
      </c>
      <c r="X33" s="17"/>
      <c r="Y33" s="50"/>
      <c r="Z33" s="16"/>
      <c r="AA33" s="14" t="str">
        <f t="shared" si="10"/>
        <v/>
      </c>
      <c r="AB33" s="14" t="str">
        <f t="shared" si="3"/>
        <v/>
      </c>
      <c r="AC33" s="13" t="str">
        <f t="shared" si="4"/>
        <v xml:space="preserve"> </v>
      </c>
      <c r="AD33" s="13" t="str">
        <f t="shared" si="5"/>
        <v/>
      </c>
      <c r="AE33" s="13" t="str">
        <f t="shared" si="11"/>
        <v/>
      </c>
      <c r="AF33" s="13" t="str">
        <f t="shared" si="12"/>
        <v/>
      </c>
      <c r="AG33" s="13" t="str">
        <f t="shared" si="13"/>
        <v/>
      </c>
    </row>
    <row r="34" spans="6:33" s="13" customFormat="1" hidden="1" x14ac:dyDescent="0.3">
      <c r="F34" s="13" t="str">
        <f t="shared" si="6"/>
        <v xml:space="preserve"> </v>
      </c>
      <c r="G34" s="68" t="str">
        <f t="shared" ref="G34:H34" si="95">IF(G110="","",G110)</f>
        <v/>
      </c>
      <c r="H34" s="13" t="str">
        <f t="shared" si="95"/>
        <v/>
      </c>
      <c r="I34" s="14" t="str">
        <f t="shared" ref="I34:M34" si="96">IF(I110="","",I110)</f>
        <v/>
      </c>
      <c r="J34" s="14" t="str">
        <f t="shared" si="96"/>
        <v/>
      </c>
      <c r="K34" s="14" t="str">
        <f t="shared" si="96"/>
        <v/>
      </c>
      <c r="L34" s="14" t="str">
        <f t="shared" si="96"/>
        <v/>
      </c>
      <c r="M34" s="15" t="str">
        <f t="shared" si="96"/>
        <v/>
      </c>
      <c r="N34" s="69"/>
      <c r="O34" s="38"/>
      <c r="P34" s="14"/>
      <c r="Q34" s="14"/>
      <c r="R34" s="32"/>
      <c r="S34" s="49"/>
      <c r="T34" s="70" t="str">
        <f t="shared" ref="T34:W34" si="97">$G110&amp;" "&amp;$H110</f>
        <v xml:space="preserve"> </v>
      </c>
      <c r="U34" s="17"/>
      <c r="V34" s="17"/>
      <c r="W34" s="17" t="str">
        <f t="shared" si="97"/>
        <v xml:space="preserve"> </v>
      </c>
      <c r="X34" s="17"/>
      <c r="Y34" s="50"/>
      <c r="Z34" s="16"/>
      <c r="AA34" s="14" t="str">
        <f t="shared" si="10"/>
        <v/>
      </c>
      <c r="AB34" s="14" t="str">
        <f t="shared" si="3"/>
        <v/>
      </c>
      <c r="AC34" s="13" t="str">
        <f t="shared" si="4"/>
        <v xml:space="preserve"> </v>
      </c>
      <c r="AD34" s="13" t="str">
        <f t="shared" si="5"/>
        <v/>
      </c>
      <c r="AE34" s="13" t="str">
        <f t="shared" si="11"/>
        <v/>
      </c>
      <c r="AF34" s="13" t="str">
        <f t="shared" si="12"/>
        <v/>
      </c>
      <c r="AG34" s="13" t="str">
        <f t="shared" si="13"/>
        <v/>
      </c>
    </row>
    <row r="35" spans="6:33" s="13" customFormat="1" hidden="1" x14ac:dyDescent="0.3">
      <c r="F35" s="13" t="str">
        <f t="shared" si="6"/>
        <v xml:space="preserve"> </v>
      </c>
      <c r="G35" s="68" t="str">
        <f t="shared" ref="G35:H35" si="98">IF(G111="","",G111)</f>
        <v/>
      </c>
      <c r="H35" s="13" t="str">
        <f t="shared" si="98"/>
        <v/>
      </c>
      <c r="I35" s="14" t="str">
        <f t="shared" ref="I35:M35" si="99">IF(I111="","",I111)</f>
        <v/>
      </c>
      <c r="J35" s="14" t="str">
        <f t="shared" si="99"/>
        <v/>
      </c>
      <c r="K35" s="14" t="str">
        <f t="shared" si="99"/>
        <v/>
      </c>
      <c r="L35" s="14" t="str">
        <f t="shared" si="99"/>
        <v/>
      </c>
      <c r="M35" s="15" t="str">
        <f t="shared" si="99"/>
        <v/>
      </c>
      <c r="N35" s="69"/>
      <c r="O35" s="38"/>
      <c r="P35" s="14"/>
      <c r="Q35" s="14"/>
      <c r="R35" s="32"/>
      <c r="S35" s="49"/>
      <c r="T35" s="70" t="str">
        <f t="shared" ref="T35:W35" si="100">$G111&amp;" "&amp;$H111</f>
        <v xml:space="preserve"> </v>
      </c>
      <c r="U35" s="17"/>
      <c r="V35" s="17"/>
      <c r="W35" s="17" t="str">
        <f t="shared" si="100"/>
        <v xml:space="preserve"> </v>
      </c>
      <c r="X35" s="17"/>
      <c r="Y35" s="50"/>
      <c r="Z35" s="16"/>
      <c r="AA35" s="14" t="str">
        <f t="shared" si="10"/>
        <v/>
      </c>
      <c r="AB35" s="14" t="str">
        <f t="shared" si="3"/>
        <v/>
      </c>
      <c r="AC35" s="13" t="str">
        <f t="shared" si="4"/>
        <v xml:space="preserve"> </v>
      </c>
      <c r="AD35" s="13" t="str">
        <f t="shared" si="5"/>
        <v/>
      </c>
      <c r="AE35" s="13" t="str">
        <f t="shared" si="11"/>
        <v/>
      </c>
      <c r="AF35" s="13" t="str">
        <f t="shared" si="12"/>
        <v/>
      </c>
      <c r="AG35" s="13" t="str">
        <f t="shared" si="13"/>
        <v/>
      </c>
    </row>
    <row r="36" spans="6:33" s="13" customFormat="1" hidden="1" x14ac:dyDescent="0.3">
      <c r="F36" s="13" t="str">
        <f t="shared" si="6"/>
        <v xml:space="preserve"> </v>
      </c>
      <c r="G36" s="68" t="str">
        <f t="shared" ref="G36:H36" si="101">IF(G112="","",G112)</f>
        <v/>
      </c>
      <c r="H36" s="13" t="str">
        <f t="shared" si="101"/>
        <v/>
      </c>
      <c r="I36" s="14" t="str">
        <f t="shared" ref="I36:M36" si="102">IF(I112="","",I112)</f>
        <v/>
      </c>
      <c r="J36" s="14" t="str">
        <f t="shared" si="102"/>
        <v/>
      </c>
      <c r="K36" s="14" t="str">
        <f t="shared" si="102"/>
        <v/>
      </c>
      <c r="L36" s="14" t="str">
        <f t="shared" si="102"/>
        <v/>
      </c>
      <c r="M36" s="15" t="str">
        <f t="shared" si="102"/>
        <v/>
      </c>
      <c r="N36" s="69"/>
      <c r="O36" s="38"/>
      <c r="P36" s="14"/>
      <c r="Q36" s="14"/>
      <c r="R36" s="32"/>
      <c r="S36" s="49"/>
      <c r="T36" s="70" t="str">
        <f t="shared" ref="T36:W36" si="103">$G112&amp;" "&amp;$H112</f>
        <v xml:space="preserve"> </v>
      </c>
      <c r="U36" s="17"/>
      <c r="V36" s="17"/>
      <c r="W36" s="17" t="str">
        <f t="shared" si="103"/>
        <v xml:space="preserve"> </v>
      </c>
      <c r="X36" s="17"/>
      <c r="Y36" s="50"/>
      <c r="Z36" s="16"/>
      <c r="AA36" s="14" t="str">
        <f t="shared" si="10"/>
        <v/>
      </c>
      <c r="AB36" s="14" t="str">
        <f t="shared" si="3"/>
        <v/>
      </c>
      <c r="AC36" s="13" t="str">
        <f t="shared" si="4"/>
        <v xml:space="preserve"> </v>
      </c>
      <c r="AD36" s="13" t="str">
        <f t="shared" si="5"/>
        <v/>
      </c>
      <c r="AE36" s="13" t="str">
        <f t="shared" si="11"/>
        <v/>
      </c>
      <c r="AF36" s="13" t="str">
        <f t="shared" si="12"/>
        <v/>
      </c>
      <c r="AG36" s="13" t="str">
        <f t="shared" si="13"/>
        <v/>
      </c>
    </row>
    <row r="37" spans="6:33" s="13" customFormat="1" hidden="1" x14ac:dyDescent="0.3">
      <c r="F37" s="13" t="str">
        <f t="shared" si="6"/>
        <v xml:space="preserve"> </v>
      </c>
      <c r="G37" s="68" t="str">
        <f t="shared" ref="G37:H37" si="104">IF(G113="","",G113)</f>
        <v/>
      </c>
      <c r="H37" s="13" t="str">
        <f t="shared" si="104"/>
        <v/>
      </c>
      <c r="I37" s="14" t="str">
        <f t="shared" ref="I37:M37" si="105">IF(I113="","",I113)</f>
        <v/>
      </c>
      <c r="J37" s="14" t="str">
        <f t="shared" si="105"/>
        <v/>
      </c>
      <c r="K37" s="14" t="str">
        <f t="shared" si="105"/>
        <v/>
      </c>
      <c r="L37" s="14" t="str">
        <f t="shared" si="105"/>
        <v/>
      </c>
      <c r="M37" s="15" t="str">
        <f t="shared" si="105"/>
        <v/>
      </c>
      <c r="N37" s="69"/>
      <c r="O37" s="38"/>
      <c r="P37" s="14"/>
      <c r="Q37" s="14"/>
      <c r="R37" s="32"/>
      <c r="S37" s="49"/>
      <c r="T37" s="70" t="str">
        <f t="shared" ref="T37:W37" si="106">$G113&amp;" "&amp;$H113</f>
        <v xml:space="preserve"> </v>
      </c>
      <c r="U37" s="17"/>
      <c r="V37" s="17"/>
      <c r="W37" s="17" t="str">
        <f t="shared" si="106"/>
        <v xml:space="preserve"> </v>
      </c>
      <c r="X37" s="17"/>
      <c r="Y37" s="50"/>
      <c r="Z37" s="16"/>
      <c r="AA37" s="14" t="str">
        <f t="shared" si="10"/>
        <v/>
      </c>
      <c r="AB37" s="14" t="str">
        <f t="shared" si="3"/>
        <v/>
      </c>
      <c r="AC37" s="13" t="str">
        <f t="shared" ref="AC37:AC68" si="107">F37</f>
        <v xml:space="preserve"> </v>
      </c>
      <c r="AD37" s="13" t="str">
        <f t="shared" ref="AD37:AD68" si="108">C113</f>
        <v/>
      </c>
      <c r="AE37" s="13" t="str">
        <f t="shared" si="11"/>
        <v/>
      </c>
      <c r="AF37" s="13" t="str">
        <f t="shared" si="12"/>
        <v/>
      </c>
      <c r="AG37" s="13" t="str">
        <f t="shared" si="13"/>
        <v/>
      </c>
    </row>
    <row r="38" spans="6:33" s="13" customFormat="1" hidden="1" x14ac:dyDescent="0.3">
      <c r="F38" s="13" t="str">
        <f t="shared" si="6"/>
        <v xml:space="preserve"> </v>
      </c>
      <c r="G38" s="68" t="str">
        <f t="shared" ref="G38:H38" si="109">IF(G114="","",G114)</f>
        <v/>
      </c>
      <c r="H38" s="13" t="str">
        <f t="shared" si="109"/>
        <v/>
      </c>
      <c r="I38" s="14" t="str">
        <f t="shared" ref="I38:M38" si="110">IF(I114="","",I114)</f>
        <v/>
      </c>
      <c r="J38" s="14" t="str">
        <f t="shared" si="110"/>
        <v/>
      </c>
      <c r="K38" s="14" t="str">
        <f t="shared" si="110"/>
        <v/>
      </c>
      <c r="L38" s="14" t="str">
        <f t="shared" si="110"/>
        <v/>
      </c>
      <c r="M38" s="15" t="str">
        <f t="shared" si="110"/>
        <v/>
      </c>
      <c r="N38" s="69"/>
      <c r="O38" s="38"/>
      <c r="P38" s="14"/>
      <c r="Q38" s="14"/>
      <c r="R38" s="32"/>
      <c r="S38" s="49"/>
      <c r="T38" s="70" t="str">
        <f t="shared" ref="T38:W38" si="111">$G114&amp;" "&amp;$H114</f>
        <v xml:space="preserve"> </v>
      </c>
      <c r="U38" s="17"/>
      <c r="V38" s="17"/>
      <c r="W38" s="17" t="str">
        <f t="shared" si="111"/>
        <v xml:space="preserve"> </v>
      </c>
      <c r="X38" s="17"/>
      <c r="Y38" s="50"/>
      <c r="Z38" s="16"/>
      <c r="AA38" s="14" t="str">
        <f t="shared" si="10"/>
        <v/>
      </c>
      <c r="AB38" s="14" t="str">
        <f t="shared" si="3"/>
        <v/>
      </c>
      <c r="AC38" s="13" t="str">
        <f t="shared" si="107"/>
        <v xml:space="preserve"> </v>
      </c>
      <c r="AD38" s="13" t="str">
        <f t="shared" si="108"/>
        <v/>
      </c>
      <c r="AE38" s="13" t="str">
        <f t="shared" ref="AE38:AE69" si="112">D114</f>
        <v/>
      </c>
      <c r="AF38" s="13" t="str">
        <f t="shared" ref="AF38:AF69" si="113">E114</f>
        <v/>
      </c>
      <c r="AG38" s="13" t="str">
        <f t="shared" ref="AG38:AG69" si="114">F114</f>
        <v/>
      </c>
    </row>
    <row r="39" spans="6:33" s="13" customFormat="1" hidden="1" x14ac:dyDescent="0.3">
      <c r="F39" s="13" t="str">
        <f t="shared" si="6"/>
        <v xml:space="preserve"> </v>
      </c>
      <c r="G39" s="68" t="str">
        <f t="shared" ref="G39:H39" si="115">IF(G115="","",G115)</f>
        <v/>
      </c>
      <c r="H39" s="13" t="str">
        <f t="shared" si="115"/>
        <v/>
      </c>
      <c r="I39" s="14" t="str">
        <f t="shared" ref="I39:M39" si="116">IF(I115="","",I115)</f>
        <v/>
      </c>
      <c r="J39" s="14" t="str">
        <f t="shared" si="116"/>
        <v/>
      </c>
      <c r="K39" s="14" t="str">
        <f t="shared" si="116"/>
        <v/>
      </c>
      <c r="L39" s="14" t="str">
        <f t="shared" si="116"/>
        <v/>
      </c>
      <c r="M39" s="15" t="str">
        <f t="shared" si="116"/>
        <v/>
      </c>
      <c r="N39" s="69"/>
      <c r="O39" s="38"/>
      <c r="P39" s="14"/>
      <c r="Q39" s="14"/>
      <c r="R39" s="32"/>
      <c r="S39" s="49"/>
      <c r="T39" s="70" t="str">
        <f t="shared" ref="T39:W39" si="117">$G115&amp;" "&amp;$H115</f>
        <v xml:space="preserve"> </v>
      </c>
      <c r="U39" s="17"/>
      <c r="V39" s="17"/>
      <c r="W39" s="17" t="str">
        <f t="shared" si="117"/>
        <v xml:space="preserve"> </v>
      </c>
      <c r="X39" s="17"/>
      <c r="Y39" s="50"/>
      <c r="Z39" s="16"/>
      <c r="AA39" s="14" t="str">
        <f t="shared" si="10"/>
        <v/>
      </c>
      <c r="AB39" s="14" t="str">
        <f t="shared" si="3"/>
        <v/>
      </c>
      <c r="AC39" s="13" t="str">
        <f t="shared" si="107"/>
        <v xml:space="preserve"> </v>
      </c>
      <c r="AD39" s="13" t="str">
        <f t="shared" si="108"/>
        <v/>
      </c>
      <c r="AE39" s="13" t="str">
        <f t="shared" si="112"/>
        <v/>
      </c>
      <c r="AF39" s="13" t="str">
        <f t="shared" si="113"/>
        <v/>
      </c>
      <c r="AG39" s="13" t="str">
        <f t="shared" si="114"/>
        <v/>
      </c>
    </row>
    <row r="40" spans="6:33" s="13" customFormat="1" hidden="1" x14ac:dyDescent="0.3">
      <c r="F40" s="13" t="str">
        <f t="shared" si="6"/>
        <v xml:space="preserve"> </v>
      </c>
      <c r="G40" s="68" t="str">
        <f t="shared" ref="G40:H40" si="118">IF(G116="","",G116)</f>
        <v/>
      </c>
      <c r="H40" s="13" t="str">
        <f t="shared" si="118"/>
        <v/>
      </c>
      <c r="I40" s="14" t="str">
        <f t="shared" ref="I40:M40" si="119">IF(I116="","",I116)</f>
        <v/>
      </c>
      <c r="J40" s="14" t="str">
        <f t="shared" si="119"/>
        <v/>
      </c>
      <c r="K40" s="14" t="str">
        <f t="shared" si="119"/>
        <v/>
      </c>
      <c r="L40" s="14" t="str">
        <f t="shared" si="119"/>
        <v/>
      </c>
      <c r="M40" s="15" t="str">
        <f t="shared" si="119"/>
        <v/>
      </c>
      <c r="N40" s="69"/>
      <c r="O40" s="38"/>
      <c r="P40" s="14"/>
      <c r="Q40" s="14"/>
      <c r="R40" s="32"/>
      <c r="S40" s="49"/>
      <c r="T40" s="70" t="str">
        <f t="shared" ref="T40:W40" si="120">$G116&amp;" "&amp;$H116</f>
        <v xml:space="preserve"> </v>
      </c>
      <c r="U40" s="17"/>
      <c r="V40" s="17"/>
      <c r="W40" s="17" t="str">
        <f t="shared" si="120"/>
        <v xml:space="preserve"> </v>
      </c>
      <c r="X40" s="17"/>
      <c r="Y40" s="50"/>
      <c r="Z40" s="16"/>
      <c r="AA40" s="14" t="str">
        <f t="shared" si="10"/>
        <v/>
      </c>
      <c r="AB40" s="14" t="str">
        <f t="shared" si="3"/>
        <v/>
      </c>
      <c r="AC40" s="13" t="str">
        <f t="shared" si="107"/>
        <v xml:space="preserve"> </v>
      </c>
      <c r="AD40" s="13" t="str">
        <f t="shared" si="108"/>
        <v/>
      </c>
      <c r="AE40" s="13" t="str">
        <f t="shared" si="112"/>
        <v/>
      </c>
      <c r="AF40" s="13" t="str">
        <f t="shared" si="113"/>
        <v/>
      </c>
      <c r="AG40" s="13" t="str">
        <f t="shared" si="114"/>
        <v/>
      </c>
    </row>
    <row r="41" spans="6:33" s="13" customFormat="1" hidden="1" x14ac:dyDescent="0.3">
      <c r="F41" s="13" t="str">
        <f t="shared" si="6"/>
        <v xml:space="preserve"> </v>
      </c>
      <c r="G41" s="68" t="str">
        <f t="shared" ref="G41:H41" si="121">IF(G117="","",G117)</f>
        <v/>
      </c>
      <c r="H41" s="13" t="str">
        <f t="shared" si="121"/>
        <v/>
      </c>
      <c r="I41" s="14" t="str">
        <f t="shared" ref="I41:M41" si="122">IF(I117="","",I117)</f>
        <v/>
      </c>
      <c r="J41" s="14" t="str">
        <f t="shared" si="122"/>
        <v/>
      </c>
      <c r="K41" s="14" t="str">
        <f t="shared" si="122"/>
        <v/>
      </c>
      <c r="L41" s="14" t="str">
        <f t="shared" si="122"/>
        <v/>
      </c>
      <c r="M41" s="15" t="str">
        <f t="shared" si="122"/>
        <v/>
      </c>
      <c r="N41" s="69"/>
      <c r="O41" s="38"/>
      <c r="P41" s="14"/>
      <c r="Q41" s="14"/>
      <c r="R41" s="32"/>
      <c r="S41" s="49"/>
      <c r="T41" s="70" t="str">
        <f t="shared" ref="T41:W41" si="123">$G117&amp;" "&amp;$H117</f>
        <v xml:space="preserve"> </v>
      </c>
      <c r="U41" s="17"/>
      <c r="V41" s="17"/>
      <c r="W41" s="17" t="str">
        <f t="shared" si="123"/>
        <v xml:space="preserve"> </v>
      </c>
      <c r="X41" s="17"/>
      <c r="Y41" s="50"/>
      <c r="Z41" s="16"/>
      <c r="AA41" s="14" t="str">
        <f t="shared" si="10"/>
        <v/>
      </c>
      <c r="AB41" s="14" t="str">
        <f t="shared" si="3"/>
        <v/>
      </c>
      <c r="AC41" s="13" t="str">
        <f t="shared" si="107"/>
        <v xml:space="preserve"> </v>
      </c>
      <c r="AD41" s="13" t="str">
        <f t="shared" si="108"/>
        <v/>
      </c>
      <c r="AE41" s="13" t="str">
        <f t="shared" si="112"/>
        <v/>
      </c>
      <c r="AF41" s="13" t="str">
        <f t="shared" si="113"/>
        <v/>
      </c>
      <c r="AG41" s="13" t="str">
        <f t="shared" si="114"/>
        <v/>
      </c>
    </row>
    <row r="42" spans="6:33" s="13" customFormat="1" hidden="1" x14ac:dyDescent="0.3">
      <c r="F42" s="13" t="str">
        <f t="shared" si="6"/>
        <v xml:space="preserve"> </v>
      </c>
      <c r="G42" s="68" t="str">
        <f t="shared" ref="G42:H42" si="124">IF(G118="","",G118)</f>
        <v/>
      </c>
      <c r="H42" s="13" t="str">
        <f t="shared" si="124"/>
        <v/>
      </c>
      <c r="I42" s="14" t="str">
        <f t="shared" ref="I42:M42" si="125">IF(I118="","",I118)</f>
        <v/>
      </c>
      <c r="J42" s="14" t="str">
        <f t="shared" si="125"/>
        <v/>
      </c>
      <c r="K42" s="14" t="str">
        <f t="shared" si="125"/>
        <v/>
      </c>
      <c r="L42" s="14" t="str">
        <f t="shared" si="125"/>
        <v/>
      </c>
      <c r="M42" s="15" t="str">
        <f t="shared" si="125"/>
        <v/>
      </c>
      <c r="N42" s="69"/>
      <c r="O42" s="38"/>
      <c r="P42" s="14"/>
      <c r="Q42" s="14"/>
      <c r="R42" s="32"/>
      <c r="S42" s="49"/>
      <c r="T42" s="70" t="str">
        <f t="shared" ref="T42:W42" si="126">$G118&amp;" "&amp;$H118</f>
        <v xml:space="preserve"> </v>
      </c>
      <c r="U42" s="17"/>
      <c r="V42" s="17"/>
      <c r="W42" s="17" t="str">
        <f t="shared" si="126"/>
        <v xml:space="preserve"> </v>
      </c>
      <c r="X42" s="17"/>
      <c r="Y42" s="50"/>
      <c r="Z42" s="16"/>
      <c r="AA42" s="14" t="str">
        <f t="shared" si="10"/>
        <v/>
      </c>
      <c r="AB42" s="14" t="str">
        <f t="shared" si="3"/>
        <v/>
      </c>
      <c r="AC42" s="13" t="str">
        <f t="shared" si="107"/>
        <v xml:space="preserve"> </v>
      </c>
      <c r="AD42" s="13" t="str">
        <f t="shared" si="108"/>
        <v/>
      </c>
      <c r="AE42" s="13" t="str">
        <f t="shared" si="112"/>
        <v/>
      </c>
      <c r="AF42" s="13" t="str">
        <f t="shared" si="113"/>
        <v/>
      </c>
      <c r="AG42" s="13" t="str">
        <f t="shared" si="114"/>
        <v/>
      </c>
    </row>
    <row r="43" spans="6:33" s="13" customFormat="1" hidden="1" x14ac:dyDescent="0.3">
      <c r="F43" s="13" t="str">
        <f t="shared" si="6"/>
        <v xml:space="preserve"> </v>
      </c>
      <c r="G43" s="68" t="str">
        <f t="shared" ref="G43:H43" si="127">IF(G119="","",G119)</f>
        <v/>
      </c>
      <c r="H43" s="13" t="str">
        <f t="shared" si="127"/>
        <v/>
      </c>
      <c r="I43" s="14" t="str">
        <f t="shared" ref="I43:M43" si="128">IF(I119="","",I119)</f>
        <v/>
      </c>
      <c r="J43" s="14" t="str">
        <f t="shared" si="128"/>
        <v/>
      </c>
      <c r="K43" s="14" t="str">
        <f t="shared" si="128"/>
        <v/>
      </c>
      <c r="L43" s="14" t="str">
        <f t="shared" si="128"/>
        <v/>
      </c>
      <c r="M43" s="15" t="str">
        <f t="shared" si="128"/>
        <v/>
      </c>
      <c r="N43" s="69"/>
      <c r="O43" s="38"/>
      <c r="P43" s="14"/>
      <c r="Q43" s="14"/>
      <c r="R43" s="32"/>
      <c r="S43" s="49"/>
      <c r="T43" s="70" t="str">
        <f t="shared" ref="T43:W43" si="129">$G119&amp;" "&amp;$H119</f>
        <v xml:space="preserve"> </v>
      </c>
      <c r="U43" s="17"/>
      <c r="V43" s="17"/>
      <c r="W43" s="17" t="str">
        <f t="shared" si="129"/>
        <v xml:space="preserve"> </v>
      </c>
      <c r="X43" s="17"/>
      <c r="Y43" s="50"/>
      <c r="Z43" s="16"/>
      <c r="AA43" s="14" t="str">
        <f t="shared" si="10"/>
        <v/>
      </c>
      <c r="AB43" s="14" t="str">
        <f t="shared" si="3"/>
        <v/>
      </c>
      <c r="AC43" s="13" t="str">
        <f t="shared" si="107"/>
        <v xml:space="preserve"> </v>
      </c>
      <c r="AD43" s="13" t="str">
        <f t="shared" si="108"/>
        <v/>
      </c>
      <c r="AE43" s="13" t="str">
        <f t="shared" si="112"/>
        <v/>
      </c>
      <c r="AF43" s="13" t="str">
        <f t="shared" si="113"/>
        <v/>
      </c>
      <c r="AG43" s="13" t="str">
        <f t="shared" si="114"/>
        <v/>
      </c>
    </row>
    <row r="44" spans="6:33" s="13" customFormat="1" hidden="1" x14ac:dyDescent="0.3">
      <c r="F44" s="13" t="str">
        <f t="shared" si="6"/>
        <v xml:space="preserve"> </v>
      </c>
      <c r="G44" s="68" t="str">
        <f t="shared" ref="G44:H44" si="130">IF(G120="","",G120)</f>
        <v/>
      </c>
      <c r="H44" s="13" t="str">
        <f t="shared" si="130"/>
        <v/>
      </c>
      <c r="I44" s="14" t="str">
        <f t="shared" ref="I44:M44" si="131">IF(I120="","",I120)</f>
        <v/>
      </c>
      <c r="J44" s="14" t="str">
        <f t="shared" si="131"/>
        <v/>
      </c>
      <c r="K44" s="14" t="str">
        <f t="shared" si="131"/>
        <v/>
      </c>
      <c r="L44" s="14" t="str">
        <f t="shared" si="131"/>
        <v/>
      </c>
      <c r="M44" s="15" t="str">
        <f t="shared" si="131"/>
        <v/>
      </c>
      <c r="N44" s="69"/>
      <c r="O44" s="38"/>
      <c r="P44" s="14"/>
      <c r="Q44" s="14"/>
      <c r="R44" s="32"/>
      <c r="S44" s="49"/>
      <c r="T44" s="70" t="str">
        <f t="shared" ref="T44:W44" si="132">$G120&amp;" "&amp;$H120</f>
        <v xml:space="preserve"> </v>
      </c>
      <c r="U44" s="17"/>
      <c r="V44" s="17"/>
      <c r="W44" s="17" t="str">
        <f t="shared" si="132"/>
        <v xml:space="preserve"> </v>
      </c>
      <c r="X44" s="17"/>
      <c r="Y44" s="50"/>
      <c r="Z44" s="16"/>
      <c r="AA44" s="14" t="str">
        <f t="shared" si="10"/>
        <v/>
      </c>
      <c r="AB44" s="14" t="str">
        <f t="shared" si="3"/>
        <v/>
      </c>
      <c r="AC44" s="13" t="str">
        <f t="shared" si="107"/>
        <v xml:space="preserve"> </v>
      </c>
      <c r="AD44" s="13" t="str">
        <f t="shared" si="108"/>
        <v/>
      </c>
      <c r="AE44" s="13" t="str">
        <f t="shared" si="112"/>
        <v/>
      </c>
      <c r="AF44" s="13" t="str">
        <f t="shared" si="113"/>
        <v/>
      </c>
      <c r="AG44" s="13" t="str">
        <f t="shared" si="114"/>
        <v/>
      </c>
    </row>
    <row r="45" spans="6:33" s="13" customFormat="1" hidden="1" x14ac:dyDescent="0.3">
      <c r="F45" s="13" t="str">
        <f t="shared" si="6"/>
        <v xml:space="preserve"> </v>
      </c>
      <c r="G45" s="68" t="str">
        <f t="shared" ref="G45:H45" si="133">IF(G121="","",G121)</f>
        <v/>
      </c>
      <c r="H45" s="13" t="str">
        <f t="shared" si="133"/>
        <v/>
      </c>
      <c r="I45" s="14" t="str">
        <f t="shared" ref="I45:M45" si="134">IF(I121="","",I121)</f>
        <v/>
      </c>
      <c r="J45" s="14" t="str">
        <f t="shared" si="134"/>
        <v/>
      </c>
      <c r="K45" s="14" t="str">
        <f t="shared" si="134"/>
        <v/>
      </c>
      <c r="L45" s="14" t="str">
        <f t="shared" si="134"/>
        <v/>
      </c>
      <c r="M45" s="15" t="str">
        <f t="shared" si="134"/>
        <v/>
      </c>
      <c r="N45" s="69"/>
      <c r="O45" s="38"/>
      <c r="P45" s="14"/>
      <c r="Q45" s="14"/>
      <c r="R45" s="32"/>
      <c r="S45" s="49"/>
      <c r="T45" s="70" t="str">
        <f t="shared" ref="T45:W45" si="135">$G121&amp;" "&amp;$H121</f>
        <v xml:space="preserve"> </v>
      </c>
      <c r="U45" s="17"/>
      <c r="V45" s="17"/>
      <c r="W45" s="17" t="str">
        <f t="shared" si="135"/>
        <v xml:space="preserve"> </v>
      </c>
      <c r="X45" s="17"/>
      <c r="Y45" s="50"/>
      <c r="Z45" s="16"/>
      <c r="AA45" s="14" t="str">
        <f t="shared" si="10"/>
        <v/>
      </c>
      <c r="AB45" s="14" t="str">
        <f t="shared" si="3"/>
        <v/>
      </c>
      <c r="AC45" s="13" t="str">
        <f t="shared" si="107"/>
        <v xml:space="preserve"> </v>
      </c>
      <c r="AD45" s="13" t="str">
        <f t="shared" si="108"/>
        <v/>
      </c>
      <c r="AE45" s="13" t="str">
        <f t="shared" si="112"/>
        <v/>
      </c>
      <c r="AF45" s="13" t="str">
        <f t="shared" si="113"/>
        <v/>
      </c>
      <c r="AG45" s="13" t="str">
        <f t="shared" si="114"/>
        <v/>
      </c>
    </row>
    <row r="46" spans="6:33" s="13" customFormat="1" hidden="1" x14ac:dyDescent="0.3">
      <c r="F46" s="13" t="str">
        <f t="shared" si="6"/>
        <v xml:space="preserve"> </v>
      </c>
      <c r="G46" s="68" t="str">
        <f t="shared" ref="G46:H46" si="136">IF(G122="","",G122)</f>
        <v/>
      </c>
      <c r="H46" s="13" t="str">
        <f t="shared" si="136"/>
        <v/>
      </c>
      <c r="I46" s="14" t="str">
        <f t="shared" ref="I46:M46" si="137">IF(I122="","",I122)</f>
        <v/>
      </c>
      <c r="J46" s="14" t="str">
        <f t="shared" si="137"/>
        <v/>
      </c>
      <c r="K46" s="14" t="str">
        <f t="shared" si="137"/>
        <v/>
      </c>
      <c r="L46" s="14" t="str">
        <f t="shared" si="137"/>
        <v/>
      </c>
      <c r="M46" s="15" t="str">
        <f t="shared" si="137"/>
        <v/>
      </c>
      <c r="N46" s="69"/>
      <c r="O46" s="38"/>
      <c r="P46" s="14"/>
      <c r="Q46" s="14"/>
      <c r="R46" s="32"/>
      <c r="S46" s="49"/>
      <c r="T46" s="70" t="str">
        <f t="shared" ref="T46:W46" si="138">$G122&amp;" "&amp;$H122</f>
        <v xml:space="preserve"> </v>
      </c>
      <c r="U46" s="17"/>
      <c r="V46" s="17"/>
      <c r="W46" s="17" t="str">
        <f t="shared" si="138"/>
        <v xml:space="preserve"> </v>
      </c>
      <c r="X46" s="17"/>
      <c r="Y46" s="50"/>
      <c r="Z46" s="16"/>
      <c r="AA46" s="14" t="str">
        <f t="shared" si="10"/>
        <v/>
      </c>
      <c r="AB46" s="14" t="str">
        <f t="shared" si="3"/>
        <v/>
      </c>
      <c r="AC46" s="13" t="str">
        <f t="shared" si="107"/>
        <v xml:space="preserve"> </v>
      </c>
      <c r="AD46" s="13" t="str">
        <f t="shared" si="108"/>
        <v/>
      </c>
      <c r="AE46" s="13" t="str">
        <f t="shared" si="112"/>
        <v/>
      </c>
      <c r="AF46" s="13" t="str">
        <f t="shared" si="113"/>
        <v/>
      </c>
      <c r="AG46" s="13" t="str">
        <f t="shared" si="114"/>
        <v/>
      </c>
    </row>
    <row r="47" spans="6:33" s="13" customFormat="1" hidden="1" x14ac:dyDescent="0.3">
      <c r="F47" s="13" t="str">
        <f t="shared" si="6"/>
        <v xml:space="preserve"> </v>
      </c>
      <c r="G47" s="68" t="str">
        <f t="shared" ref="G47:H47" si="139">IF(G123="","",G123)</f>
        <v/>
      </c>
      <c r="H47" s="13" t="str">
        <f t="shared" si="139"/>
        <v/>
      </c>
      <c r="I47" s="14" t="str">
        <f t="shared" ref="I47:M47" si="140">IF(I123="","",I123)</f>
        <v/>
      </c>
      <c r="J47" s="14" t="str">
        <f t="shared" si="140"/>
        <v/>
      </c>
      <c r="K47" s="14" t="str">
        <f t="shared" si="140"/>
        <v/>
      </c>
      <c r="L47" s="14" t="str">
        <f t="shared" si="140"/>
        <v/>
      </c>
      <c r="M47" s="15" t="str">
        <f t="shared" si="140"/>
        <v/>
      </c>
      <c r="N47" s="69"/>
      <c r="O47" s="38"/>
      <c r="P47" s="14"/>
      <c r="Q47" s="14"/>
      <c r="R47" s="32"/>
      <c r="S47" s="49"/>
      <c r="T47" s="70" t="str">
        <f t="shared" ref="T47:W47" si="141">$G123&amp;" "&amp;$H123</f>
        <v xml:space="preserve"> </v>
      </c>
      <c r="U47" s="17"/>
      <c r="V47" s="17"/>
      <c r="W47" s="17" t="str">
        <f t="shared" si="141"/>
        <v xml:space="preserve"> </v>
      </c>
      <c r="X47" s="17"/>
      <c r="Y47" s="50"/>
      <c r="Z47" s="16"/>
      <c r="AA47" s="14" t="str">
        <f t="shared" si="10"/>
        <v/>
      </c>
      <c r="AB47" s="14" t="str">
        <f t="shared" si="3"/>
        <v/>
      </c>
      <c r="AC47" s="13" t="str">
        <f t="shared" si="107"/>
        <v xml:space="preserve"> </v>
      </c>
      <c r="AD47" s="13" t="str">
        <f t="shared" si="108"/>
        <v/>
      </c>
      <c r="AE47" s="13" t="str">
        <f t="shared" si="112"/>
        <v/>
      </c>
      <c r="AF47" s="13" t="str">
        <f t="shared" si="113"/>
        <v/>
      </c>
      <c r="AG47" s="13" t="str">
        <f t="shared" si="114"/>
        <v/>
      </c>
    </row>
    <row r="48" spans="6:33" s="13" customFormat="1" hidden="1" x14ac:dyDescent="0.3">
      <c r="F48" s="13" t="str">
        <f t="shared" si="6"/>
        <v xml:space="preserve"> </v>
      </c>
      <c r="G48" s="68" t="str">
        <f t="shared" ref="G48:H48" si="142">IF(G124="","",G124)</f>
        <v/>
      </c>
      <c r="H48" s="13" t="str">
        <f t="shared" si="142"/>
        <v/>
      </c>
      <c r="I48" s="14" t="str">
        <f t="shared" ref="I48:M48" si="143">IF(I124="","",I124)</f>
        <v/>
      </c>
      <c r="J48" s="14" t="str">
        <f t="shared" si="143"/>
        <v/>
      </c>
      <c r="K48" s="14" t="str">
        <f t="shared" si="143"/>
        <v/>
      </c>
      <c r="L48" s="14" t="str">
        <f t="shared" si="143"/>
        <v/>
      </c>
      <c r="M48" s="15" t="str">
        <f t="shared" si="143"/>
        <v/>
      </c>
      <c r="N48" s="69"/>
      <c r="O48" s="38"/>
      <c r="P48" s="14"/>
      <c r="Q48" s="14"/>
      <c r="R48" s="32"/>
      <c r="S48" s="49"/>
      <c r="T48" s="70" t="str">
        <f t="shared" ref="T48:W48" si="144">$G124&amp;" "&amp;$H124</f>
        <v xml:space="preserve"> </v>
      </c>
      <c r="U48" s="17"/>
      <c r="V48" s="17"/>
      <c r="W48" s="17" t="str">
        <f t="shared" si="144"/>
        <v xml:space="preserve"> </v>
      </c>
      <c r="X48" s="17"/>
      <c r="Y48" s="50"/>
      <c r="Z48" s="16"/>
      <c r="AA48" s="14" t="str">
        <f t="shared" si="10"/>
        <v/>
      </c>
      <c r="AB48" s="14" t="str">
        <f t="shared" si="3"/>
        <v/>
      </c>
      <c r="AC48" s="13" t="str">
        <f t="shared" si="107"/>
        <v xml:space="preserve"> </v>
      </c>
      <c r="AD48" s="13" t="str">
        <f t="shared" si="108"/>
        <v/>
      </c>
      <c r="AE48" s="13" t="str">
        <f t="shared" si="112"/>
        <v/>
      </c>
      <c r="AF48" s="13" t="str">
        <f t="shared" si="113"/>
        <v/>
      </c>
      <c r="AG48" s="13" t="str">
        <f t="shared" si="114"/>
        <v/>
      </c>
    </row>
    <row r="49" spans="6:33" s="13" customFormat="1" hidden="1" x14ac:dyDescent="0.3">
      <c r="F49" s="13" t="str">
        <f t="shared" si="6"/>
        <v xml:space="preserve"> </v>
      </c>
      <c r="G49" s="68" t="str">
        <f t="shared" ref="G49:H49" si="145">IF(G125="","",G125)</f>
        <v/>
      </c>
      <c r="H49" s="13" t="str">
        <f t="shared" si="145"/>
        <v/>
      </c>
      <c r="I49" s="14" t="str">
        <f t="shared" ref="I49:M49" si="146">IF(I125="","",I125)</f>
        <v/>
      </c>
      <c r="J49" s="14" t="str">
        <f t="shared" si="146"/>
        <v/>
      </c>
      <c r="K49" s="14" t="str">
        <f t="shared" si="146"/>
        <v/>
      </c>
      <c r="L49" s="14" t="str">
        <f t="shared" si="146"/>
        <v/>
      </c>
      <c r="M49" s="15" t="str">
        <f t="shared" si="146"/>
        <v/>
      </c>
      <c r="N49" s="69"/>
      <c r="O49" s="38"/>
      <c r="P49" s="14"/>
      <c r="Q49" s="14"/>
      <c r="R49" s="32"/>
      <c r="S49" s="49"/>
      <c r="T49" s="70" t="str">
        <f t="shared" ref="T49:W49" si="147">$G125&amp;" "&amp;$H125</f>
        <v xml:space="preserve"> </v>
      </c>
      <c r="U49" s="17"/>
      <c r="V49" s="17"/>
      <c r="W49" s="17" t="str">
        <f t="shared" si="147"/>
        <v xml:space="preserve"> </v>
      </c>
      <c r="X49" s="17"/>
      <c r="Y49" s="50"/>
      <c r="Z49" s="16"/>
      <c r="AA49" s="14" t="str">
        <f t="shared" si="10"/>
        <v/>
      </c>
      <c r="AB49" s="14" t="str">
        <f t="shared" si="3"/>
        <v/>
      </c>
      <c r="AC49" s="13" t="str">
        <f t="shared" si="107"/>
        <v xml:space="preserve"> </v>
      </c>
      <c r="AD49" s="13" t="str">
        <f t="shared" si="108"/>
        <v/>
      </c>
      <c r="AE49" s="13" t="str">
        <f t="shared" si="112"/>
        <v/>
      </c>
      <c r="AF49" s="13" t="str">
        <f t="shared" si="113"/>
        <v/>
      </c>
      <c r="AG49" s="13" t="str">
        <f t="shared" si="114"/>
        <v/>
      </c>
    </row>
    <row r="50" spans="6:33" s="13" customFormat="1" hidden="1" x14ac:dyDescent="0.3">
      <c r="F50" s="13" t="str">
        <f t="shared" si="6"/>
        <v xml:space="preserve"> </v>
      </c>
      <c r="G50" s="68" t="str">
        <f t="shared" ref="G50:H50" si="148">IF(G126="","",G126)</f>
        <v/>
      </c>
      <c r="H50" s="13" t="str">
        <f t="shared" si="148"/>
        <v/>
      </c>
      <c r="I50" s="14" t="str">
        <f t="shared" ref="I50:M50" si="149">IF(I126="","",I126)</f>
        <v/>
      </c>
      <c r="J50" s="14" t="str">
        <f t="shared" si="149"/>
        <v/>
      </c>
      <c r="K50" s="14" t="str">
        <f t="shared" si="149"/>
        <v/>
      </c>
      <c r="L50" s="14" t="str">
        <f t="shared" si="149"/>
        <v/>
      </c>
      <c r="M50" s="15" t="str">
        <f t="shared" si="149"/>
        <v/>
      </c>
      <c r="N50" s="69"/>
      <c r="O50" s="38"/>
      <c r="P50" s="14"/>
      <c r="Q50" s="14"/>
      <c r="R50" s="32"/>
      <c r="S50" s="49"/>
      <c r="T50" s="70" t="str">
        <f t="shared" ref="T50:W50" si="150">$G126&amp;" "&amp;$H126</f>
        <v xml:space="preserve"> </v>
      </c>
      <c r="U50" s="17"/>
      <c r="V50" s="17"/>
      <c r="W50" s="17" t="str">
        <f t="shared" si="150"/>
        <v xml:space="preserve"> </v>
      </c>
      <c r="X50" s="17"/>
      <c r="Y50" s="50"/>
      <c r="Z50" s="16"/>
      <c r="AA50" s="14" t="str">
        <f t="shared" si="10"/>
        <v/>
      </c>
      <c r="AB50" s="14" t="str">
        <f t="shared" si="3"/>
        <v/>
      </c>
      <c r="AC50" s="13" t="str">
        <f t="shared" si="107"/>
        <v xml:space="preserve"> </v>
      </c>
      <c r="AD50" s="13" t="str">
        <f t="shared" si="108"/>
        <v/>
      </c>
      <c r="AE50" s="13" t="str">
        <f t="shared" si="112"/>
        <v/>
      </c>
      <c r="AF50" s="13" t="str">
        <f t="shared" si="113"/>
        <v/>
      </c>
      <c r="AG50" s="13" t="str">
        <f t="shared" si="114"/>
        <v/>
      </c>
    </row>
    <row r="51" spans="6:33" s="13" customFormat="1" hidden="1" x14ac:dyDescent="0.3">
      <c r="F51" s="13" t="str">
        <f t="shared" si="6"/>
        <v xml:space="preserve"> </v>
      </c>
      <c r="G51" s="68" t="str">
        <f t="shared" ref="G51:H51" si="151">IF(G127="","",G127)</f>
        <v/>
      </c>
      <c r="H51" s="13" t="str">
        <f t="shared" si="151"/>
        <v/>
      </c>
      <c r="I51" s="14" t="str">
        <f t="shared" ref="I51:M51" si="152">IF(I127="","",I127)</f>
        <v/>
      </c>
      <c r="J51" s="14" t="str">
        <f t="shared" si="152"/>
        <v/>
      </c>
      <c r="K51" s="14" t="str">
        <f t="shared" si="152"/>
        <v/>
      </c>
      <c r="L51" s="14" t="str">
        <f t="shared" si="152"/>
        <v/>
      </c>
      <c r="M51" s="15" t="str">
        <f t="shared" si="152"/>
        <v/>
      </c>
      <c r="N51" s="69"/>
      <c r="O51" s="38"/>
      <c r="P51" s="14"/>
      <c r="Q51" s="14"/>
      <c r="R51" s="32"/>
      <c r="S51" s="49"/>
      <c r="T51" s="70" t="str">
        <f t="shared" ref="T51:W51" si="153">$G127&amp;" "&amp;$H127</f>
        <v xml:space="preserve"> </v>
      </c>
      <c r="U51" s="17"/>
      <c r="V51" s="17"/>
      <c r="W51" s="17" t="str">
        <f t="shared" si="153"/>
        <v xml:space="preserve"> </v>
      </c>
      <c r="X51" s="17"/>
      <c r="Y51" s="50"/>
      <c r="Z51" s="16"/>
      <c r="AA51" s="14" t="str">
        <f t="shared" si="10"/>
        <v/>
      </c>
      <c r="AB51" s="14" t="str">
        <f t="shared" si="3"/>
        <v/>
      </c>
      <c r="AC51" s="13" t="str">
        <f t="shared" si="107"/>
        <v xml:space="preserve"> </v>
      </c>
      <c r="AD51" s="13" t="str">
        <f t="shared" si="108"/>
        <v/>
      </c>
      <c r="AE51" s="13" t="str">
        <f t="shared" si="112"/>
        <v/>
      </c>
      <c r="AF51" s="13" t="str">
        <f t="shared" si="113"/>
        <v/>
      </c>
      <c r="AG51" s="13" t="str">
        <f t="shared" si="114"/>
        <v/>
      </c>
    </row>
    <row r="52" spans="6:33" s="13" customFormat="1" hidden="1" x14ac:dyDescent="0.3">
      <c r="F52" s="13" t="str">
        <f t="shared" si="6"/>
        <v xml:space="preserve"> </v>
      </c>
      <c r="G52" s="68" t="str">
        <f t="shared" ref="G52:H52" si="154">IF(G128="","",G128)</f>
        <v/>
      </c>
      <c r="H52" s="13" t="str">
        <f t="shared" si="154"/>
        <v/>
      </c>
      <c r="I52" s="14" t="str">
        <f t="shared" ref="I52:M52" si="155">IF(I128="","",I128)</f>
        <v/>
      </c>
      <c r="J52" s="14" t="str">
        <f t="shared" si="155"/>
        <v/>
      </c>
      <c r="K52" s="14" t="str">
        <f t="shared" si="155"/>
        <v/>
      </c>
      <c r="L52" s="14" t="str">
        <f t="shared" si="155"/>
        <v/>
      </c>
      <c r="M52" s="15" t="str">
        <f t="shared" si="155"/>
        <v/>
      </c>
      <c r="N52" s="69"/>
      <c r="O52" s="38"/>
      <c r="P52" s="14"/>
      <c r="Q52" s="14"/>
      <c r="R52" s="32"/>
      <c r="S52" s="49"/>
      <c r="T52" s="70" t="str">
        <f t="shared" ref="T52:W52" si="156">$G128&amp;" "&amp;$H128</f>
        <v xml:space="preserve"> </v>
      </c>
      <c r="U52" s="17"/>
      <c r="V52" s="17"/>
      <c r="W52" s="17" t="str">
        <f t="shared" si="156"/>
        <v xml:space="preserve"> </v>
      </c>
      <c r="X52" s="17"/>
      <c r="Y52" s="50"/>
      <c r="Z52" s="16"/>
      <c r="AA52" s="14" t="str">
        <f t="shared" si="10"/>
        <v/>
      </c>
      <c r="AB52" s="14" t="str">
        <f t="shared" si="3"/>
        <v/>
      </c>
      <c r="AC52" s="13" t="str">
        <f t="shared" si="107"/>
        <v xml:space="preserve"> </v>
      </c>
      <c r="AD52" s="13" t="str">
        <f t="shared" si="108"/>
        <v/>
      </c>
      <c r="AE52" s="13" t="str">
        <f t="shared" si="112"/>
        <v/>
      </c>
      <c r="AF52" s="13" t="str">
        <f t="shared" si="113"/>
        <v/>
      </c>
      <c r="AG52" s="13" t="str">
        <f t="shared" si="114"/>
        <v/>
      </c>
    </row>
    <row r="53" spans="6:33" s="13" customFormat="1" hidden="1" x14ac:dyDescent="0.3">
      <c r="F53" s="13" t="str">
        <f t="shared" si="6"/>
        <v xml:space="preserve"> </v>
      </c>
      <c r="G53" s="68" t="str">
        <f t="shared" ref="G53:H53" si="157">IF(G129="","",G129)</f>
        <v/>
      </c>
      <c r="H53" s="13" t="str">
        <f t="shared" si="157"/>
        <v/>
      </c>
      <c r="I53" s="14" t="str">
        <f t="shared" ref="I53:M53" si="158">IF(I129="","",I129)</f>
        <v/>
      </c>
      <c r="J53" s="14" t="str">
        <f t="shared" si="158"/>
        <v/>
      </c>
      <c r="K53" s="14" t="str">
        <f t="shared" si="158"/>
        <v/>
      </c>
      <c r="L53" s="14" t="str">
        <f t="shared" si="158"/>
        <v/>
      </c>
      <c r="M53" s="15" t="str">
        <f t="shared" si="158"/>
        <v/>
      </c>
      <c r="N53" s="69"/>
      <c r="O53" s="38"/>
      <c r="P53" s="14"/>
      <c r="Q53" s="14"/>
      <c r="R53" s="32"/>
      <c r="S53" s="49"/>
      <c r="T53" s="70" t="str">
        <f t="shared" ref="T53:W53" si="159">$G129&amp;" "&amp;$H129</f>
        <v xml:space="preserve"> </v>
      </c>
      <c r="U53" s="17"/>
      <c r="V53" s="17"/>
      <c r="W53" s="17" t="str">
        <f t="shared" si="159"/>
        <v xml:space="preserve"> </v>
      </c>
      <c r="X53" s="17"/>
      <c r="Y53" s="50"/>
      <c r="Z53" s="16"/>
      <c r="AA53" s="14" t="str">
        <f t="shared" si="10"/>
        <v/>
      </c>
      <c r="AB53" s="14" t="str">
        <f t="shared" si="3"/>
        <v/>
      </c>
      <c r="AC53" s="13" t="str">
        <f t="shared" si="107"/>
        <v xml:space="preserve"> </v>
      </c>
      <c r="AD53" s="13" t="str">
        <f t="shared" si="108"/>
        <v/>
      </c>
      <c r="AE53" s="13" t="str">
        <f t="shared" si="112"/>
        <v/>
      </c>
      <c r="AF53" s="13" t="str">
        <f t="shared" si="113"/>
        <v/>
      </c>
      <c r="AG53" s="13" t="str">
        <f t="shared" si="114"/>
        <v/>
      </c>
    </row>
    <row r="54" spans="6:33" s="13" customFormat="1" hidden="1" x14ac:dyDescent="0.3">
      <c r="F54" s="13" t="str">
        <f t="shared" si="6"/>
        <v xml:space="preserve"> </v>
      </c>
      <c r="G54" s="68" t="str">
        <f t="shared" ref="G54:H54" si="160">IF(G130="","",G130)</f>
        <v/>
      </c>
      <c r="H54" s="13" t="str">
        <f t="shared" si="160"/>
        <v/>
      </c>
      <c r="I54" s="14" t="str">
        <f t="shared" ref="I54:M54" si="161">IF(I130="","",I130)</f>
        <v/>
      </c>
      <c r="J54" s="14" t="str">
        <f t="shared" si="161"/>
        <v/>
      </c>
      <c r="K54" s="14" t="str">
        <f t="shared" si="161"/>
        <v/>
      </c>
      <c r="L54" s="14" t="str">
        <f t="shared" si="161"/>
        <v/>
      </c>
      <c r="M54" s="15" t="str">
        <f t="shared" si="161"/>
        <v/>
      </c>
      <c r="N54" s="69"/>
      <c r="O54" s="38"/>
      <c r="P54" s="14"/>
      <c r="Q54" s="14"/>
      <c r="R54" s="32"/>
      <c r="S54" s="49"/>
      <c r="T54" s="70" t="str">
        <f t="shared" ref="T54:W54" si="162">$G130&amp;" "&amp;$H130</f>
        <v xml:space="preserve"> </v>
      </c>
      <c r="U54" s="17"/>
      <c r="V54" s="17"/>
      <c r="W54" s="17" t="str">
        <f t="shared" si="162"/>
        <v xml:space="preserve"> </v>
      </c>
      <c r="X54" s="17"/>
      <c r="Y54" s="50"/>
      <c r="Z54" s="16"/>
      <c r="AA54" s="14" t="str">
        <f t="shared" si="10"/>
        <v/>
      </c>
      <c r="AB54" s="14" t="str">
        <f t="shared" si="3"/>
        <v/>
      </c>
      <c r="AC54" s="13" t="str">
        <f t="shared" si="107"/>
        <v xml:space="preserve"> </v>
      </c>
      <c r="AD54" s="13" t="str">
        <f t="shared" si="108"/>
        <v/>
      </c>
      <c r="AE54" s="13" t="str">
        <f t="shared" si="112"/>
        <v/>
      </c>
      <c r="AF54" s="13" t="str">
        <f t="shared" si="113"/>
        <v/>
      </c>
      <c r="AG54" s="13" t="str">
        <f t="shared" si="114"/>
        <v/>
      </c>
    </row>
    <row r="55" spans="6:33" s="13" customFormat="1" hidden="1" x14ac:dyDescent="0.3">
      <c r="F55" s="13" t="str">
        <f t="shared" si="6"/>
        <v xml:space="preserve"> </v>
      </c>
      <c r="G55" s="68" t="str">
        <f t="shared" ref="G55:H55" si="163">IF(G131="","",G131)</f>
        <v/>
      </c>
      <c r="H55" s="13" t="str">
        <f t="shared" si="163"/>
        <v/>
      </c>
      <c r="I55" s="14" t="str">
        <f t="shared" ref="I55:M55" si="164">IF(I131="","",I131)</f>
        <v/>
      </c>
      <c r="J55" s="14" t="str">
        <f t="shared" si="164"/>
        <v/>
      </c>
      <c r="K55" s="14" t="str">
        <f t="shared" si="164"/>
        <v/>
      </c>
      <c r="L55" s="14" t="str">
        <f t="shared" si="164"/>
        <v/>
      </c>
      <c r="M55" s="15" t="str">
        <f t="shared" si="164"/>
        <v/>
      </c>
      <c r="N55" s="69"/>
      <c r="O55" s="38"/>
      <c r="P55" s="14"/>
      <c r="Q55" s="14"/>
      <c r="R55" s="32"/>
      <c r="S55" s="49"/>
      <c r="T55" s="70" t="str">
        <f t="shared" ref="T55:W55" si="165">$G131&amp;" "&amp;$H131</f>
        <v xml:space="preserve"> </v>
      </c>
      <c r="U55" s="17"/>
      <c r="V55" s="17"/>
      <c r="W55" s="17" t="str">
        <f t="shared" si="165"/>
        <v xml:space="preserve"> </v>
      </c>
      <c r="X55" s="17"/>
      <c r="Y55" s="50"/>
      <c r="Z55" s="16"/>
      <c r="AA55" s="14" t="str">
        <f t="shared" si="10"/>
        <v/>
      </c>
      <c r="AB55" s="14" t="str">
        <f t="shared" si="3"/>
        <v/>
      </c>
      <c r="AC55" s="13" t="str">
        <f t="shared" si="107"/>
        <v xml:space="preserve"> </v>
      </c>
      <c r="AD55" s="13" t="str">
        <f t="shared" si="108"/>
        <v/>
      </c>
      <c r="AE55" s="13" t="str">
        <f t="shared" si="112"/>
        <v/>
      </c>
      <c r="AF55" s="13" t="str">
        <f t="shared" si="113"/>
        <v/>
      </c>
      <c r="AG55" s="13" t="str">
        <f t="shared" si="114"/>
        <v/>
      </c>
    </row>
    <row r="56" spans="6:33" s="13" customFormat="1" hidden="1" x14ac:dyDescent="0.3">
      <c r="F56" s="13" t="str">
        <f t="shared" si="6"/>
        <v xml:space="preserve"> </v>
      </c>
      <c r="G56" s="68" t="str">
        <f t="shared" ref="G56:H56" si="166">IF(G132="","",G132)</f>
        <v/>
      </c>
      <c r="H56" s="13" t="str">
        <f t="shared" si="166"/>
        <v/>
      </c>
      <c r="I56" s="14" t="str">
        <f t="shared" ref="I56:M56" si="167">IF(I132="","",I132)</f>
        <v/>
      </c>
      <c r="J56" s="14" t="str">
        <f t="shared" si="167"/>
        <v/>
      </c>
      <c r="K56" s="14" t="str">
        <f t="shared" si="167"/>
        <v/>
      </c>
      <c r="L56" s="14" t="str">
        <f t="shared" si="167"/>
        <v/>
      </c>
      <c r="M56" s="15" t="str">
        <f t="shared" si="167"/>
        <v/>
      </c>
      <c r="N56" s="69"/>
      <c r="O56" s="38"/>
      <c r="P56" s="14"/>
      <c r="Q56" s="14"/>
      <c r="R56" s="32"/>
      <c r="S56" s="49"/>
      <c r="T56" s="70" t="str">
        <f t="shared" ref="T56:W56" si="168">$G132&amp;" "&amp;$H132</f>
        <v xml:space="preserve"> </v>
      </c>
      <c r="U56" s="17"/>
      <c r="V56" s="17"/>
      <c r="W56" s="17" t="str">
        <f t="shared" si="168"/>
        <v xml:space="preserve"> </v>
      </c>
      <c r="X56" s="17"/>
      <c r="Y56" s="50"/>
      <c r="Z56" s="16"/>
      <c r="AA56" s="14" t="str">
        <f t="shared" si="10"/>
        <v/>
      </c>
      <c r="AB56" s="14" t="str">
        <f t="shared" si="3"/>
        <v/>
      </c>
      <c r="AC56" s="13" t="str">
        <f t="shared" si="107"/>
        <v xml:space="preserve"> </v>
      </c>
      <c r="AD56" s="13" t="str">
        <f t="shared" si="108"/>
        <v/>
      </c>
      <c r="AE56" s="13" t="str">
        <f t="shared" si="112"/>
        <v/>
      </c>
      <c r="AF56" s="13" t="str">
        <f t="shared" si="113"/>
        <v/>
      </c>
      <c r="AG56" s="13" t="str">
        <f t="shared" si="114"/>
        <v/>
      </c>
    </row>
    <row r="57" spans="6:33" s="13" customFormat="1" hidden="1" x14ac:dyDescent="0.3">
      <c r="F57" s="13" t="str">
        <f t="shared" si="6"/>
        <v xml:space="preserve"> </v>
      </c>
      <c r="G57" s="68" t="str">
        <f t="shared" ref="G57:H57" si="169">IF(G133="","",G133)</f>
        <v/>
      </c>
      <c r="H57" s="13" t="str">
        <f t="shared" si="169"/>
        <v/>
      </c>
      <c r="I57" s="14" t="str">
        <f t="shared" ref="I57:M57" si="170">IF(I133="","",I133)</f>
        <v/>
      </c>
      <c r="J57" s="14" t="str">
        <f t="shared" si="170"/>
        <v/>
      </c>
      <c r="K57" s="14" t="str">
        <f t="shared" si="170"/>
        <v/>
      </c>
      <c r="L57" s="14" t="str">
        <f t="shared" si="170"/>
        <v/>
      </c>
      <c r="M57" s="15" t="str">
        <f t="shared" si="170"/>
        <v/>
      </c>
      <c r="N57" s="69"/>
      <c r="O57" s="38"/>
      <c r="P57" s="14"/>
      <c r="Q57" s="14"/>
      <c r="R57" s="32"/>
      <c r="S57" s="49"/>
      <c r="T57" s="70" t="str">
        <f t="shared" ref="T57:W57" si="171">$G133&amp;" "&amp;$H133</f>
        <v xml:space="preserve"> </v>
      </c>
      <c r="U57" s="17"/>
      <c r="V57" s="17"/>
      <c r="W57" s="17" t="str">
        <f t="shared" si="171"/>
        <v xml:space="preserve"> </v>
      </c>
      <c r="X57" s="17"/>
      <c r="Y57" s="50"/>
      <c r="Z57" s="16"/>
      <c r="AA57" s="14" t="str">
        <f t="shared" si="10"/>
        <v/>
      </c>
      <c r="AB57" s="14" t="str">
        <f t="shared" si="3"/>
        <v/>
      </c>
      <c r="AC57" s="13" t="str">
        <f t="shared" si="107"/>
        <v xml:space="preserve"> </v>
      </c>
      <c r="AD57" s="13" t="str">
        <f t="shared" si="108"/>
        <v/>
      </c>
      <c r="AE57" s="13" t="str">
        <f t="shared" si="112"/>
        <v/>
      </c>
      <c r="AF57" s="13" t="str">
        <f t="shared" si="113"/>
        <v/>
      </c>
      <c r="AG57" s="13" t="str">
        <f t="shared" si="114"/>
        <v/>
      </c>
    </row>
    <row r="58" spans="6:33" s="13" customFormat="1" hidden="1" x14ac:dyDescent="0.3">
      <c r="F58" s="13" t="str">
        <f t="shared" si="6"/>
        <v xml:space="preserve"> </v>
      </c>
      <c r="G58" s="68" t="str">
        <f t="shared" ref="G58:H58" si="172">IF(G134="","",G134)</f>
        <v/>
      </c>
      <c r="H58" s="13" t="str">
        <f t="shared" si="172"/>
        <v/>
      </c>
      <c r="I58" s="14" t="str">
        <f t="shared" ref="I58:M58" si="173">IF(I134="","",I134)</f>
        <v/>
      </c>
      <c r="J58" s="14" t="str">
        <f t="shared" si="173"/>
        <v/>
      </c>
      <c r="K58" s="14" t="str">
        <f t="shared" si="173"/>
        <v/>
      </c>
      <c r="L58" s="14" t="str">
        <f t="shared" si="173"/>
        <v/>
      </c>
      <c r="M58" s="15" t="str">
        <f t="shared" si="173"/>
        <v/>
      </c>
      <c r="N58" s="69"/>
      <c r="O58" s="38"/>
      <c r="P58" s="14"/>
      <c r="Q58" s="14"/>
      <c r="R58" s="32"/>
      <c r="S58" s="49"/>
      <c r="T58" s="70" t="str">
        <f t="shared" ref="T58:W58" si="174">$G134&amp;" "&amp;$H134</f>
        <v xml:space="preserve"> </v>
      </c>
      <c r="U58" s="17"/>
      <c r="V58" s="17"/>
      <c r="W58" s="17" t="str">
        <f t="shared" si="174"/>
        <v xml:space="preserve"> </v>
      </c>
      <c r="X58" s="17"/>
      <c r="Y58" s="50"/>
      <c r="Z58" s="16"/>
      <c r="AA58" s="14" t="str">
        <f t="shared" si="10"/>
        <v/>
      </c>
      <c r="AB58" s="14" t="str">
        <f t="shared" si="3"/>
        <v/>
      </c>
      <c r="AC58" s="13" t="str">
        <f t="shared" si="107"/>
        <v xml:space="preserve"> </v>
      </c>
      <c r="AD58" s="13" t="str">
        <f t="shared" si="108"/>
        <v/>
      </c>
      <c r="AE58" s="13" t="str">
        <f t="shared" si="112"/>
        <v/>
      </c>
      <c r="AF58" s="13" t="str">
        <f t="shared" si="113"/>
        <v/>
      </c>
      <c r="AG58" s="13" t="str">
        <f t="shared" si="114"/>
        <v/>
      </c>
    </row>
    <row r="59" spans="6:33" s="13" customFormat="1" hidden="1" x14ac:dyDescent="0.3">
      <c r="F59" s="13" t="str">
        <f t="shared" si="6"/>
        <v xml:space="preserve"> </v>
      </c>
      <c r="G59" s="68" t="str">
        <f t="shared" ref="G59:H59" si="175">IF(G135="","",G135)</f>
        <v/>
      </c>
      <c r="H59" s="13" t="str">
        <f t="shared" si="175"/>
        <v/>
      </c>
      <c r="I59" s="14" t="str">
        <f t="shared" ref="I59:M59" si="176">IF(I135="","",I135)</f>
        <v/>
      </c>
      <c r="J59" s="14" t="str">
        <f t="shared" si="176"/>
        <v/>
      </c>
      <c r="K59" s="14" t="str">
        <f t="shared" si="176"/>
        <v/>
      </c>
      <c r="L59" s="14" t="str">
        <f t="shared" si="176"/>
        <v/>
      </c>
      <c r="M59" s="15" t="str">
        <f t="shared" si="176"/>
        <v/>
      </c>
      <c r="N59" s="69"/>
      <c r="O59" s="38"/>
      <c r="P59" s="14"/>
      <c r="Q59" s="14"/>
      <c r="R59" s="32"/>
      <c r="S59" s="49"/>
      <c r="T59" s="70" t="str">
        <f t="shared" ref="T59:W59" si="177">$G135&amp;" "&amp;$H135</f>
        <v xml:space="preserve"> </v>
      </c>
      <c r="U59" s="17"/>
      <c r="V59" s="17"/>
      <c r="W59" s="17" t="str">
        <f t="shared" si="177"/>
        <v xml:space="preserve"> </v>
      </c>
      <c r="X59" s="17"/>
      <c r="Y59" s="50"/>
      <c r="Z59" s="16"/>
      <c r="AA59" s="14" t="str">
        <f t="shared" si="10"/>
        <v/>
      </c>
      <c r="AB59" s="14" t="str">
        <f t="shared" si="3"/>
        <v/>
      </c>
      <c r="AC59" s="13" t="str">
        <f t="shared" si="107"/>
        <v xml:space="preserve"> </v>
      </c>
      <c r="AD59" s="13" t="str">
        <f t="shared" si="108"/>
        <v/>
      </c>
      <c r="AE59" s="13" t="str">
        <f t="shared" si="112"/>
        <v/>
      </c>
      <c r="AF59" s="13" t="str">
        <f t="shared" si="113"/>
        <v/>
      </c>
      <c r="AG59" s="13" t="str">
        <f t="shared" si="114"/>
        <v/>
      </c>
    </row>
    <row r="60" spans="6:33" s="13" customFormat="1" hidden="1" x14ac:dyDescent="0.3">
      <c r="F60" s="13" t="str">
        <f t="shared" si="6"/>
        <v xml:space="preserve"> </v>
      </c>
      <c r="G60" s="68" t="str">
        <f t="shared" ref="G60:H60" si="178">IF(G136="","",G136)</f>
        <v/>
      </c>
      <c r="H60" s="13" t="str">
        <f t="shared" si="178"/>
        <v/>
      </c>
      <c r="I60" s="14" t="str">
        <f t="shared" ref="I60:M60" si="179">IF(I136="","",I136)</f>
        <v/>
      </c>
      <c r="J60" s="14" t="str">
        <f t="shared" si="179"/>
        <v/>
      </c>
      <c r="K60" s="14" t="str">
        <f t="shared" si="179"/>
        <v/>
      </c>
      <c r="L60" s="14" t="str">
        <f t="shared" si="179"/>
        <v/>
      </c>
      <c r="M60" s="15" t="str">
        <f t="shared" si="179"/>
        <v/>
      </c>
      <c r="N60" s="69"/>
      <c r="O60" s="38"/>
      <c r="P60" s="14"/>
      <c r="Q60" s="14"/>
      <c r="R60" s="32"/>
      <c r="S60" s="49"/>
      <c r="T60" s="70" t="str">
        <f t="shared" ref="T60:W60" si="180">$G136&amp;" "&amp;$H136</f>
        <v xml:space="preserve"> </v>
      </c>
      <c r="U60" s="17"/>
      <c r="V60" s="17"/>
      <c r="W60" s="17" t="str">
        <f t="shared" si="180"/>
        <v xml:space="preserve"> </v>
      </c>
      <c r="X60" s="17"/>
      <c r="Y60" s="50"/>
      <c r="Z60" s="16"/>
      <c r="AA60" s="14" t="str">
        <f t="shared" si="10"/>
        <v/>
      </c>
      <c r="AB60" s="14" t="str">
        <f t="shared" si="3"/>
        <v/>
      </c>
      <c r="AC60" s="13" t="str">
        <f t="shared" si="107"/>
        <v xml:space="preserve"> </v>
      </c>
      <c r="AD60" s="13" t="str">
        <f t="shared" si="108"/>
        <v/>
      </c>
      <c r="AE60" s="13" t="str">
        <f t="shared" si="112"/>
        <v/>
      </c>
      <c r="AF60" s="13" t="str">
        <f t="shared" si="113"/>
        <v/>
      </c>
      <c r="AG60" s="13" t="str">
        <f t="shared" si="114"/>
        <v/>
      </c>
    </row>
    <row r="61" spans="6:33" s="13" customFormat="1" hidden="1" x14ac:dyDescent="0.3">
      <c r="F61" s="13" t="str">
        <f t="shared" si="6"/>
        <v xml:space="preserve"> </v>
      </c>
      <c r="G61" s="68" t="str">
        <f t="shared" ref="G61:H61" si="181">IF(G137="","",G137)</f>
        <v/>
      </c>
      <c r="H61" s="13" t="str">
        <f t="shared" si="181"/>
        <v/>
      </c>
      <c r="I61" s="14" t="str">
        <f t="shared" ref="I61:L61" si="182">IF(I137="","",I137)</f>
        <v/>
      </c>
      <c r="J61" s="14" t="str">
        <f t="shared" si="182"/>
        <v/>
      </c>
      <c r="K61" s="14" t="str">
        <f t="shared" si="182"/>
        <v/>
      </c>
      <c r="L61" s="14" t="str">
        <f t="shared" si="182"/>
        <v/>
      </c>
      <c r="M61" s="15" t="str">
        <f>IF('Vereine - Clubs'!E28=""," ",'Vereine - Clubs'!E28)</f>
        <v xml:space="preserve"> </v>
      </c>
      <c r="N61" s="69"/>
      <c r="O61" s="38"/>
      <c r="P61" s="14"/>
      <c r="Q61" s="14"/>
      <c r="R61" s="32"/>
      <c r="S61" s="49"/>
      <c r="T61" s="70" t="str">
        <f t="shared" ref="T61:W61" si="183">$G137&amp;" "&amp;$H137</f>
        <v xml:space="preserve"> </v>
      </c>
      <c r="U61" s="17"/>
      <c r="V61" s="17"/>
      <c r="W61" s="17" t="str">
        <f t="shared" si="183"/>
        <v xml:space="preserve"> </v>
      </c>
      <c r="X61" s="17"/>
      <c r="Y61" s="50"/>
      <c r="Z61" s="16"/>
      <c r="AA61" s="14" t="str">
        <f t="shared" si="10"/>
        <v/>
      </c>
      <c r="AB61" s="14" t="str">
        <f t="shared" si="3"/>
        <v/>
      </c>
      <c r="AC61" s="13" t="str">
        <f t="shared" si="107"/>
        <v xml:space="preserve"> </v>
      </c>
      <c r="AD61" s="13" t="str">
        <f t="shared" si="108"/>
        <v/>
      </c>
      <c r="AE61" s="13" t="str">
        <f t="shared" si="112"/>
        <v/>
      </c>
      <c r="AF61" s="13" t="str">
        <f t="shared" si="113"/>
        <v/>
      </c>
      <c r="AG61" s="13" t="str">
        <f t="shared" si="114"/>
        <v/>
      </c>
    </row>
    <row r="62" spans="6:33" s="13" customFormat="1" hidden="1" x14ac:dyDescent="0.3">
      <c r="F62" s="13" t="str">
        <f t="shared" si="6"/>
        <v xml:space="preserve"> </v>
      </c>
      <c r="G62" s="68" t="str">
        <f t="shared" ref="G62:H62" si="184">IF(G138="","",G138)</f>
        <v/>
      </c>
      <c r="H62" s="13" t="str">
        <f t="shared" si="184"/>
        <v/>
      </c>
      <c r="I62" s="14" t="str">
        <f t="shared" ref="I62:L62" si="185">IF(I138="","",I138)</f>
        <v/>
      </c>
      <c r="J62" s="14" t="str">
        <f t="shared" si="185"/>
        <v/>
      </c>
      <c r="K62" s="14" t="str">
        <f t="shared" si="185"/>
        <v/>
      </c>
      <c r="L62" s="14" t="str">
        <f t="shared" si="185"/>
        <v/>
      </c>
      <c r="M62" s="15" t="str">
        <f>IF('Vereine - Clubs'!E29=""," ",'Vereine - Clubs'!E29)</f>
        <v xml:space="preserve"> </v>
      </c>
      <c r="N62" s="69"/>
      <c r="O62" s="38"/>
      <c r="P62" s="14"/>
      <c r="Q62" s="14"/>
      <c r="R62" s="32"/>
      <c r="S62" s="49"/>
      <c r="T62" s="70" t="str">
        <f t="shared" ref="T62:W62" si="186">$G138&amp;" "&amp;$H138</f>
        <v xml:space="preserve"> </v>
      </c>
      <c r="U62" s="17"/>
      <c r="V62" s="17"/>
      <c r="W62" s="17" t="str">
        <f t="shared" si="186"/>
        <v xml:space="preserve"> </v>
      </c>
      <c r="X62" s="17"/>
      <c r="Y62" s="50"/>
      <c r="Z62" s="16"/>
      <c r="AA62" s="14" t="str">
        <f t="shared" si="10"/>
        <v/>
      </c>
      <c r="AB62" s="14" t="str">
        <f t="shared" si="3"/>
        <v/>
      </c>
      <c r="AC62" s="13" t="str">
        <f t="shared" si="107"/>
        <v xml:space="preserve"> </v>
      </c>
      <c r="AD62" s="13" t="str">
        <f t="shared" si="108"/>
        <v/>
      </c>
      <c r="AE62" s="13" t="str">
        <f t="shared" si="112"/>
        <v/>
      </c>
      <c r="AF62" s="13" t="str">
        <f t="shared" si="113"/>
        <v/>
      </c>
      <c r="AG62" s="13" t="str">
        <f t="shared" si="114"/>
        <v/>
      </c>
    </row>
    <row r="63" spans="6:33" s="13" customFormat="1" hidden="1" x14ac:dyDescent="0.3">
      <c r="F63" s="13" t="str">
        <f t="shared" si="6"/>
        <v xml:space="preserve"> </v>
      </c>
      <c r="G63" s="68" t="str">
        <f t="shared" ref="G63:H63" si="187">IF(G139="","",G139)</f>
        <v/>
      </c>
      <c r="H63" s="13" t="str">
        <f t="shared" si="187"/>
        <v/>
      </c>
      <c r="I63" s="14" t="str">
        <f t="shared" ref="I63:L63" si="188">IF(I139="","",I139)</f>
        <v/>
      </c>
      <c r="J63" s="14" t="str">
        <f t="shared" si="188"/>
        <v/>
      </c>
      <c r="K63" s="14" t="str">
        <f t="shared" si="188"/>
        <v/>
      </c>
      <c r="L63" s="14" t="str">
        <f t="shared" si="188"/>
        <v/>
      </c>
      <c r="M63" s="15" t="str">
        <f>IF('Vereine - Clubs'!E30=""," ",'Vereine - Clubs'!E30)</f>
        <v xml:space="preserve"> </v>
      </c>
      <c r="N63" s="69"/>
      <c r="O63" s="38"/>
      <c r="P63" s="14"/>
      <c r="Q63" s="14"/>
      <c r="R63" s="32"/>
      <c r="S63" s="49"/>
      <c r="T63" s="70" t="str">
        <f t="shared" ref="T63:W63" si="189">$G139&amp;" "&amp;$H139</f>
        <v xml:space="preserve"> </v>
      </c>
      <c r="U63" s="17"/>
      <c r="V63" s="17"/>
      <c r="W63" s="17" t="str">
        <f t="shared" si="189"/>
        <v xml:space="preserve"> </v>
      </c>
      <c r="X63" s="17"/>
      <c r="Y63" s="50"/>
      <c r="Z63" s="16"/>
      <c r="AA63" s="14" t="str">
        <f t="shared" si="10"/>
        <v/>
      </c>
      <c r="AB63" s="14" t="str">
        <f t="shared" si="3"/>
        <v/>
      </c>
      <c r="AC63" s="13" t="str">
        <f t="shared" si="107"/>
        <v xml:space="preserve"> </v>
      </c>
      <c r="AD63" s="13" t="str">
        <f t="shared" si="108"/>
        <v/>
      </c>
      <c r="AE63" s="13" t="str">
        <f t="shared" si="112"/>
        <v/>
      </c>
      <c r="AF63" s="13" t="str">
        <f t="shared" si="113"/>
        <v/>
      </c>
      <c r="AG63" s="13" t="str">
        <f t="shared" si="114"/>
        <v/>
      </c>
    </row>
    <row r="64" spans="6:33" s="13" customFormat="1" hidden="1" x14ac:dyDescent="0.3">
      <c r="F64" s="13" t="str">
        <f t="shared" si="6"/>
        <v xml:space="preserve"> </v>
      </c>
      <c r="G64" s="68" t="str">
        <f t="shared" ref="G64:H64" si="190">IF(G140="","",G140)</f>
        <v/>
      </c>
      <c r="H64" s="13" t="str">
        <f t="shared" si="190"/>
        <v/>
      </c>
      <c r="I64" s="14" t="str">
        <f t="shared" ref="I64:L64" si="191">IF(I140="","",I140)</f>
        <v/>
      </c>
      <c r="J64" s="14" t="str">
        <f t="shared" si="191"/>
        <v/>
      </c>
      <c r="K64" s="14" t="str">
        <f t="shared" si="191"/>
        <v/>
      </c>
      <c r="L64" s="14" t="str">
        <f t="shared" si="191"/>
        <v/>
      </c>
      <c r="M64" s="15" t="str">
        <f>IF('Vereine - Clubs'!E31=""," ",'Vereine - Clubs'!E31)</f>
        <v xml:space="preserve"> </v>
      </c>
      <c r="N64" s="69"/>
      <c r="O64" s="38"/>
      <c r="P64" s="14"/>
      <c r="Q64" s="14"/>
      <c r="R64" s="32"/>
      <c r="S64" s="49"/>
      <c r="T64" s="70" t="str">
        <f t="shared" ref="T64:W64" si="192">$G140&amp;" "&amp;$H140</f>
        <v xml:space="preserve"> </v>
      </c>
      <c r="U64" s="17"/>
      <c r="V64" s="17"/>
      <c r="W64" s="17" t="str">
        <f t="shared" si="192"/>
        <v xml:space="preserve"> </v>
      </c>
      <c r="X64" s="17"/>
      <c r="Y64" s="50"/>
      <c r="Z64" s="16"/>
      <c r="AA64" s="14" t="str">
        <f t="shared" si="10"/>
        <v/>
      </c>
      <c r="AB64" s="14" t="str">
        <f t="shared" si="3"/>
        <v/>
      </c>
      <c r="AC64" s="13" t="str">
        <f t="shared" si="107"/>
        <v xml:space="preserve"> </v>
      </c>
      <c r="AD64" s="13" t="str">
        <f t="shared" si="108"/>
        <v/>
      </c>
      <c r="AE64" s="13" t="str">
        <f t="shared" si="112"/>
        <v/>
      </c>
      <c r="AF64" s="13" t="str">
        <f t="shared" si="113"/>
        <v/>
      </c>
      <c r="AG64" s="13" t="str">
        <f t="shared" si="114"/>
        <v/>
      </c>
    </row>
    <row r="65" spans="6:33" s="13" customFormat="1" hidden="1" x14ac:dyDescent="0.3">
      <c r="F65" s="13" t="str">
        <f t="shared" si="6"/>
        <v xml:space="preserve"> </v>
      </c>
      <c r="G65" s="68" t="str">
        <f t="shared" ref="G65:H65" si="193">IF(G141="","",G141)</f>
        <v/>
      </c>
      <c r="H65" s="13" t="str">
        <f t="shared" si="193"/>
        <v/>
      </c>
      <c r="I65" s="14" t="str">
        <f t="shared" ref="I65:L65" si="194">IF(I141="","",I141)</f>
        <v/>
      </c>
      <c r="J65" s="14" t="str">
        <f t="shared" si="194"/>
        <v/>
      </c>
      <c r="K65" s="14" t="str">
        <f t="shared" si="194"/>
        <v/>
      </c>
      <c r="L65" s="14" t="str">
        <f t="shared" si="194"/>
        <v/>
      </c>
      <c r="M65" s="15" t="str">
        <f>IF('Vereine - Clubs'!E32=""," ",'Vereine - Clubs'!E32)</f>
        <v xml:space="preserve"> </v>
      </c>
      <c r="N65" s="69"/>
      <c r="O65" s="38"/>
      <c r="P65" s="14"/>
      <c r="Q65" s="14"/>
      <c r="R65" s="32"/>
      <c r="S65" s="49"/>
      <c r="T65" s="70" t="str">
        <f t="shared" ref="T65:W65" si="195">$G141&amp;" "&amp;$H141</f>
        <v xml:space="preserve"> </v>
      </c>
      <c r="U65" s="17"/>
      <c r="V65" s="17"/>
      <c r="W65" s="17" t="str">
        <f t="shared" si="195"/>
        <v xml:space="preserve"> </v>
      </c>
      <c r="X65" s="17"/>
      <c r="Y65" s="50"/>
      <c r="Z65" s="16"/>
      <c r="AA65" s="14" t="str">
        <f t="shared" si="10"/>
        <v/>
      </c>
      <c r="AB65" s="14" t="str">
        <f t="shared" si="3"/>
        <v/>
      </c>
      <c r="AC65" s="13" t="str">
        <f t="shared" si="107"/>
        <v xml:space="preserve"> </v>
      </c>
      <c r="AD65" s="13" t="str">
        <f t="shared" si="108"/>
        <v/>
      </c>
      <c r="AE65" s="13" t="str">
        <f t="shared" si="112"/>
        <v/>
      </c>
      <c r="AF65" s="13" t="str">
        <f t="shared" si="113"/>
        <v/>
      </c>
      <c r="AG65" s="13" t="str">
        <f t="shared" si="114"/>
        <v/>
      </c>
    </row>
    <row r="66" spans="6:33" s="13" customFormat="1" hidden="1" x14ac:dyDescent="0.3">
      <c r="F66" s="13" t="str">
        <f t="shared" si="6"/>
        <v xml:space="preserve"> </v>
      </c>
      <c r="G66" s="68" t="str">
        <f t="shared" ref="G66:H66" si="196">IF(G142="","",G142)</f>
        <v/>
      </c>
      <c r="H66" s="13" t="str">
        <f t="shared" si="196"/>
        <v/>
      </c>
      <c r="I66" s="14" t="str">
        <f t="shared" ref="I66:L66" si="197">IF(I142="","",I142)</f>
        <v/>
      </c>
      <c r="J66" s="14" t="str">
        <f t="shared" si="197"/>
        <v/>
      </c>
      <c r="K66" s="14" t="str">
        <f t="shared" si="197"/>
        <v/>
      </c>
      <c r="L66" s="14" t="str">
        <f t="shared" si="197"/>
        <v/>
      </c>
      <c r="M66" s="15" t="str">
        <f>IF('Vereine - Clubs'!E33=""," ",'Vereine - Clubs'!E33)</f>
        <v xml:space="preserve"> </v>
      </c>
      <c r="N66" s="69"/>
      <c r="O66" s="38"/>
      <c r="P66" s="14"/>
      <c r="Q66" s="14"/>
      <c r="R66" s="32"/>
      <c r="S66" s="49"/>
      <c r="T66" s="70" t="str">
        <f t="shared" ref="T66:W66" si="198">$G142&amp;" "&amp;$H142</f>
        <v xml:space="preserve"> </v>
      </c>
      <c r="U66" s="17"/>
      <c r="V66" s="17"/>
      <c r="W66" s="17" t="str">
        <f t="shared" si="198"/>
        <v xml:space="preserve"> </v>
      </c>
      <c r="X66" s="17"/>
      <c r="Y66" s="50"/>
      <c r="Z66" s="16"/>
      <c r="AA66" s="14" t="str">
        <f t="shared" si="10"/>
        <v/>
      </c>
      <c r="AB66" s="14" t="str">
        <f t="shared" si="3"/>
        <v/>
      </c>
      <c r="AC66" s="13" t="str">
        <f t="shared" si="107"/>
        <v xml:space="preserve"> </v>
      </c>
      <c r="AD66" s="13" t="str">
        <f t="shared" si="108"/>
        <v/>
      </c>
      <c r="AE66" s="13" t="str">
        <f t="shared" si="112"/>
        <v/>
      </c>
      <c r="AF66" s="13" t="str">
        <f t="shared" si="113"/>
        <v/>
      </c>
      <c r="AG66" s="13" t="str">
        <f t="shared" si="114"/>
        <v/>
      </c>
    </row>
    <row r="67" spans="6:33" s="13" customFormat="1" hidden="1" x14ac:dyDescent="0.3">
      <c r="F67" s="13" t="str">
        <f t="shared" si="6"/>
        <v xml:space="preserve"> </v>
      </c>
      <c r="G67" s="68" t="str">
        <f t="shared" ref="G67:H67" si="199">IF(G143="","",G143)</f>
        <v/>
      </c>
      <c r="H67" s="13" t="str">
        <f t="shared" si="199"/>
        <v/>
      </c>
      <c r="I67" s="14" t="str">
        <f t="shared" ref="I67:L67" si="200">IF(I143="","",I143)</f>
        <v/>
      </c>
      <c r="J67" s="14" t="str">
        <f t="shared" si="200"/>
        <v/>
      </c>
      <c r="K67" s="14" t="str">
        <f t="shared" si="200"/>
        <v/>
      </c>
      <c r="L67" s="14" t="str">
        <f t="shared" si="200"/>
        <v/>
      </c>
      <c r="M67" s="15" t="str">
        <f>IF('Vereine - Clubs'!E34=""," ",'Vereine - Clubs'!E34)</f>
        <v xml:space="preserve"> </v>
      </c>
      <c r="N67" s="69"/>
      <c r="O67" s="38"/>
      <c r="P67" s="14"/>
      <c r="Q67" s="14"/>
      <c r="R67" s="32"/>
      <c r="S67" s="49"/>
      <c r="T67" s="70" t="str">
        <f t="shared" ref="T67:W67" si="201">$G143&amp;" "&amp;$H143</f>
        <v xml:space="preserve"> </v>
      </c>
      <c r="U67" s="17"/>
      <c r="V67" s="17"/>
      <c r="W67" s="17" t="str">
        <f t="shared" si="201"/>
        <v xml:space="preserve"> </v>
      </c>
      <c r="X67" s="17"/>
      <c r="Y67" s="50"/>
      <c r="Z67" s="16"/>
      <c r="AA67" s="14" t="str">
        <f t="shared" si="10"/>
        <v/>
      </c>
      <c r="AB67" s="14" t="str">
        <f t="shared" si="3"/>
        <v/>
      </c>
      <c r="AC67" s="13" t="str">
        <f t="shared" si="107"/>
        <v xml:space="preserve"> </v>
      </c>
      <c r="AD67" s="13" t="str">
        <f t="shared" si="108"/>
        <v/>
      </c>
      <c r="AE67" s="13" t="str">
        <f t="shared" si="112"/>
        <v/>
      </c>
      <c r="AF67" s="13" t="str">
        <f t="shared" si="113"/>
        <v/>
      </c>
      <c r="AG67" s="13" t="str">
        <f t="shared" si="114"/>
        <v/>
      </c>
    </row>
    <row r="68" spans="6:33" s="13" customFormat="1" hidden="1" x14ac:dyDescent="0.3">
      <c r="F68" s="13" t="str">
        <f t="shared" si="6"/>
        <v xml:space="preserve"> </v>
      </c>
      <c r="G68" s="68" t="str">
        <f t="shared" ref="G68:H68" si="202">IF(G144="","",G144)</f>
        <v/>
      </c>
      <c r="H68" s="13" t="str">
        <f t="shared" si="202"/>
        <v/>
      </c>
      <c r="I68" s="14" t="str">
        <f t="shared" ref="I68:L68" si="203">IF(I144="","",I144)</f>
        <v/>
      </c>
      <c r="J68" s="14" t="str">
        <f t="shared" si="203"/>
        <v/>
      </c>
      <c r="K68" s="14" t="str">
        <f t="shared" si="203"/>
        <v/>
      </c>
      <c r="L68" s="14" t="str">
        <f t="shared" si="203"/>
        <v/>
      </c>
      <c r="M68" s="15" t="str">
        <f>IF('Vereine - Clubs'!E35=""," ",'Vereine - Clubs'!E35)</f>
        <v xml:space="preserve"> </v>
      </c>
      <c r="N68" s="69"/>
      <c r="O68" s="38"/>
      <c r="P68" s="14"/>
      <c r="Q68" s="14"/>
      <c r="R68" s="32"/>
      <c r="S68" s="49"/>
      <c r="T68" s="70" t="str">
        <f t="shared" ref="T68:W68" si="204">$G144&amp;" "&amp;$H144</f>
        <v xml:space="preserve"> </v>
      </c>
      <c r="U68" s="17"/>
      <c r="V68" s="17"/>
      <c r="W68" s="17" t="str">
        <f t="shared" si="204"/>
        <v xml:space="preserve"> </v>
      </c>
      <c r="X68" s="17"/>
      <c r="Y68" s="50"/>
      <c r="Z68" s="16"/>
      <c r="AA68" s="14" t="str">
        <f t="shared" si="10"/>
        <v/>
      </c>
      <c r="AB68" s="14" t="str">
        <f t="shared" si="3"/>
        <v/>
      </c>
      <c r="AC68" s="13" t="str">
        <f t="shared" si="107"/>
        <v xml:space="preserve"> </v>
      </c>
      <c r="AD68" s="13" t="str">
        <f t="shared" si="108"/>
        <v/>
      </c>
      <c r="AE68" s="13" t="str">
        <f t="shared" si="112"/>
        <v/>
      </c>
      <c r="AF68" s="13" t="str">
        <f t="shared" si="113"/>
        <v/>
      </c>
      <c r="AG68" s="13" t="str">
        <f t="shared" si="114"/>
        <v/>
      </c>
    </row>
    <row r="69" spans="6:33" s="13" customFormat="1" hidden="1" x14ac:dyDescent="0.3">
      <c r="F69" s="13" t="str">
        <f t="shared" si="6"/>
        <v xml:space="preserve"> </v>
      </c>
      <c r="G69" s="68" t="str">
        <f t="shared" ref="G69:H69" si="205">IF(G145="","",G145)</f>
        <v/>
      </c>
      <c r="H69" s="13" t="str">
        <f t="shared" si="205"/>
        <v/>
      </c>
      <c r="I69" s="14" t="str">
        <f t="shared" ref="I69:L69" si="206">IF(I145="","",I145)</f>
        <v/>
      </c>
      <c r="J69" s="14" t="str">
        <f t="shared" si="206"/>
        <v/>
      </c>
      <c r="K69" s="14" t="str">
        <f t="shared" si="206"/>
        <v/>
      </c>
      <c r="L69" s="14" t="str">
        <f t="shared" si="206"/>
        <v/>
      </c>
      <c r="M69" s="15" t="str">
        <f>IF('Vereine - Clubs'!E36=""," ",'Vereine - Clubs'!E36)</f>
        <v xml:space="preserve"> </v>
      </c>
      <c r="N69" s="69"/>
      <c r="O69" s="38"/>
      <c r="P69" s="14"/>
      <c r="Q69" s="14"/>
      <c r="R69" s="32"/>
      <c r="S69" s="49"/>
      <c r="T69" s="70" t="str">
        <f t="shared" ref="T69:W69" si="207">$G145&amp;" "&amp;$H145</f>
        <v xml:space="preserve"> </v>
      </c>
      <c r="U69" s="17"/>
      <c r="V69" s="17"/>
      <c r="W69" s="17" t="str">
        <f t="shared" si="207"/>
        <v xml:space="preserve"> </v>
      </c>
      <c r="X69" s="17"/>
      <c r="Y69" s="50"/>
      <c r="Z69" s="16"/>
      <c r="AA69" s="14" t="str">
        <f t="shared" si="10"/>
        <v/>
      </c>
      <c r="AB69" s="14" t="str">
        <f t="shared" ref="AB69:AB80" si="208">W145</f>
        <v/>
      </c>
      <c r="AC69" s="13" t="str">
        <f t="shared" ref="AC69:AC80" si="209">F69</f>
        <v xml:space="preserve"> </v>
      </c>
      <c r="AD69" s="13" t="str">
        <f t="shared" ref="AD69:AD80" si="210">C145</f>
        <v/>
      </c>
      <c r="AE69" s="13" t="str">
        <f t="shared" si="112"/>
        <v/>
      </c>
      <c r="AF69" s="13" t="str">
        <f t="shared" si="113"/>
        <v/>
      </c>
      <c r="AG69" s="13" t="str">
        <f t="shared" si="114"/>
        <v/>
      </c>
    </row>
    <row r="70" spans="6:33" s="13" customFormat="1" hidden="1" x14ac:dyDescent="0.3">
      <c r="F70" s="13" t="str">
        <f t="shared" ref="F70:F80" si="211">$G146&amp;" "&amp;$H146</f>
        <v xml:space="preserve"> </v>
      </c>
      <c r="G70" s="68" t="str">
        <f t="shared" ref="G70:H70" si="212">IF(G146="","",G146)</f>
        <v/>
      </c>
      <c r="H70" s="13" t="str">
        <f t="shared" si="212"/>
        <v/>
      </c>
      <c r="I70" s="14" t="str">
        <f t="shared" ref="I70:L70" si="213">IF(I146="","",I146)</f>
        <v/>
      </c>
      <c r="J70" s="14" t="str">
        <f t="shared" si="213"/>
        <v/>
      </c>
      <c r="K70" s="14" t="str">
        <f t="shared" si="213"/>
        <v/>
      </c>
      <c r="L70" s="14" t="str">
        <f t="shared" si="213"/>
        <v/>
      </c>
      <c r="M70" s="15" t="str">
        <f>IF('Vereine - Clubs'!E37=""," ",'Vereine - Clubs'!E37)</f>
        <v xml:space="preserve"> </v>
      </c>
      <c r="N70" s="69"/>
      <c r="O70" s="38"/>
      <c r="P70" s="14"/>
      <c r="Q70" s="14"/>
      <c r="R70" s="32"/>
      <c r="S70" s="49"/>
      <c r="T70" s="70" t="str">
        <f t="shared" ref="T70:W70" si="214">$G146&amp;" "&amp;$H146</f>
        <v xml:space="preserve"> </v>
      </c>
      <c r="U70" s="17"/>
      <c r="V70" s="17"/>
      <c r="W70" s="17" t="str">
        <f t="shared" si="214"/>
        <v xml:space="preserve"> </v>
      </c>
      <c r="X70" s="17"/>
      <c r="Y70" s="50"/>
      <c r="Z70" s="16"/>
      <c r="AA70" s="14" t="str">
        <f t="shared" ref="AA70:AA80" si="215">T146</f>
        <v/>
      </c>
      <c r="AB70" s="14" t="str">
        <f t="shared" si="208"/>
        <v/>
      </c>
      <c r="AC70" s="13" t="str">
        <f t="shared" si="209"/>
        <v xml:space="preserve"> </v>
      </c>
      <c r="AD70" s="13" t="str">
        <f t="shared" si="210"/>
        <v/>
      </c>
      <c r="AE70" s="13" t="str">
        <f t="shared" ref="AE70:AE80" si="216">D146</f>
        <v/>
      </c>
      <c r="AF70" s="13" t="str">
        <f t="shared" ref="AF70:AF80" si="217">E146</f>
        <v/>
      </c>
      <c r="AG70" s="13" t="str">
        <f t="shared" ref="AG70:AG80" si="218">F146</f>
        <v/>
      </c>
    </row>
    <row r="71" spans="6:33" s="13" customFormat="1" hidden="1" x14ac:dyDescent="0.3">
      <c r="F71" s="13" t="str">
        <f t="shared" si="211"/>
        <v xml:space="preserve"> </v>
      </c>
      <c r="G71" s="68" t="str">
        <f t="shared" ref="G71:H71" si="219">IF(G147="","",G147)</f>
        <v/>
      </c>
      <c r="H71" s="13" t="str">
        <f t="shared" si="219"/>
        <v/>
      </c>
      <c r="I71" s="14" t="str">
        <f t="shared" ref="I71:L71" si="220">IF(I147="","",I147)</f>
        <v/>
      </c>
      <c r="J71" s="14" t="str">
        <f t="shared" si="220"/>
        <v/>
      </c>
      <c r="K71" s="14" t="str">
        <f t="shared" si="220"/>
        <v/>
      </c>
      <c r="L71" s="14" t="str">
        <f t="shared" si="220"/>
        <v/>
      </c>
      <c r="M71" s="15" t="str">
        <f>IF('Vereine - Clubs'!E38=""," ",'Vereine - Clubs'!E38)</f>
        <v xml:space="preserve"> </v>
      </c>
      <c r="N71" s="69"/>
      <c r="O71" s="38"/>
      <c r="P71" s="14"/>
      <c r="Q71" s="14"/>
      <c r="R71" s="32"/>
      <c r="S71" s="49"/>
      <c r="T71" s="70" t="str">
        <f t="shared" ref="T71:W71" si="221">$G147&amp;" "&amp;$H147</f>
        <v xml:space="preserve"> </v>
      </c>
      <c r="U71" s="17"/>
      <c r="V71" s="17"/>
      <c r="W71" s="17" t="str">
        <f t="shared" si="221"/>
        <v xml:space="preserve"> </v>
      </c>
      <c r="X71" s="17"/>
      <c r="Y71" s="50"/>
      <c r="Z71" s="16"/>
      <c r="AA71" s="14" t="str">
        <f t="shared" si="215"/>
        <v/>
      </c>
      <c r="AB71" s="14" t="str">
        <f t="shared" si="208"/>
        <v/>
      </c>
      <c r="AC71" s="13" t="str">
        <f t="shared" si="209"/>
        <v xml:space="preserve"> </v>
      </c>
      <c r="AD71" s="13" t="str">
        <f t="shared" si="210"/>
        <v/>
      </c>
      <c r="AE71" s="13" t="str">
        <f t="shared" si="216"/>
        <v/>
      </c>
      <c r="AF71" s="13" t="str">
        <f t="shared" si="217"/>
        <v/>
      </c>
      <c r="AG71" s="13" t="str">
        <f t="shared" si="218"/>
        <v/>
      </c>
    </row>
    <row r="72" spans="6:33" s="13" customFormat="1" hidden="1" x14ac:dyDescent="0.3">
      <c r="F72" s="13" t="str">
        <f t="shared" si="211"/>
        <v xml:space="preserve"> </v>
      </c>
      <c r="G72" s="68" t="str">
        <f t="shared" ref="G72:H72" si="222">IF(G148="","",G148)</f>
        <v/>
      </c>
      <c r="H72" s="13" t="str">
        <f t="shared" si="222"/>
        <v/>
      </c>
      <c r="I72" s="14" t="str">
        <f t="shared" ref="I72:L72" si="223">IF(I148="","",I148)</f>
        <v/>
      </c>
      <c r="J72" s="14" t="str">
        <f t="shared" si="223"/>
        <v/>
      </c>
      <c r="K72" s="14" t="str">
        <f t="shared" si="223"/>
        <v/>
      </c>
      <c r="L72" s="14" t="str">
        <f t="shared" si="223"/>
        <v/>
      </c>
      <c r="M72" s="15" t="str">
        <f>IF('Vereine - Clubs'!E39=""," ",'Vereine - Clubs'!E39)</f>
        <v xml:space="preserve"> </v>
      </c>
      <c r="N72" s="69"/>
      <c r="O72" s="38"/>
      <c r="P72" s="14"/>
      <c r="Q72" s="14"/>
      <c r="R72" s="32"/>
      <c r="S72" s="49"/>
      <c r="T72" s="70" t="str">
        <f t="shared" ref="T72:W72" si="224">$G148&amp;" "&amp;$H148</f>
        <v xml:space="preserve"> </v>
      </c>
      <c r="U72" s="17"/>
      <c r="V72" s="17"/>
      <c r="W72" s="17" t="str">
        <f t="shared" si="224"/>
        <v xml:space="preserve"> </v>
      </c>
      <c r="X72" s="17"/>
      <c r="Y72" s="50"/>
      <c r="Z72" s="16"/>
      <c r="AA72" s="14" t="str">
        <f t="shared" si="215"/>
        <v/>
      </c>
      <c r="AB72" s="14" t="str">
        <f t="shared" si="208"/>
        <v/>
      </c>
      <c r="AC72" s="13" t="str">
        <f t="shared" si="209"/>
        <v xml:space="preserve"> </v>
      </c>
      <c r="AD72" s="13" t="str">
        <f t="shared" si="210"/>
        <v/>
      </c>
      <c r="AE72" s="13" t="str">
        <f t="shared" si="216"/>
        <v/>
      </c>
      <c r="AF72" s="13" t="str">
        <f t="shared" si="217"/>
        <v/>
      </c>
      <c r="AG72" s="13" t="str">
        <f t="shared" si="218"/>
        <v/>
      </c>
    </row>
    <row r="73" spans="6:33" s="13" customFormat="1" hidden="1" x14ac:dyDescent="0.3">
      <c r="F73" s="13" t="str">
        <f t="shared" si="211"/>
        <v xml:space="preserve"> </v>
      </c>
      <c r="G73" s="68" t="str">
        <f t="shared" ref="G73:H73" si="225">IF(G149="","",G149)</f>
        <v/>
      </c>
      <c r="H73" s="13" t="str">
        <f t="shared" si="225"/>
        <v/>
      </c>
      <c r="I73" s="14" t="str">
        <f t="shared" ref="I73:L73" si="226">IF(I149="","",I149)</f>
        <v/>
      </c>
      <c r="J73" s="14" t="str">
        <f t="shared" si="226"/>
        <v/>
      </c>
      <c r="K73" s="14" t="str">
        <f t="shared" si="226"/>
        <v/>
      </c>
      <c r="L73" s="14" t="str">
        <f t="shared" si="226"/>
        <v/>
      </c>
      <c r="M73" s="15" t="str">
        <f>IF('Vereine - Clubs'!E40=""," ",'Vereine - Clubs'!E40)</f>
        <v xml:space="preserve"> </v>
      </c>
      <c r="N73" s="69"/>
      <c r="O73" s="38"/>
      <c r="P73" s="14"/>
      <c r="Q73" s="14"/>
      <c r="R73" s="32"/>
      <c r="S73" s="49"/>
      <c r="T73" s="70" t="str">
        <f t="shared" ref="T73:W73" si="227">$G149&amp;" "&amp;$H149</f>
        <v xml:space="preserve"> </v>
      </c>
      <c r="U73" s="17"/>
      <c r="V73" s="17"/>
      <c r="W73" s="17" t="str">
        <f t="shared" si="227"/>
        <v xml:space="preserve"> </v>
      </c>
      <c r="X73" s="17"/>
      <c r="Y73" s="50"/>
      <c r="Z73" s="16"/>
      <c r="AA73" s="14" t="str">
        <f t="shared" si="215"/>
        <v/>
      </c>
      <c r="AB73" s="14" t="str">
        <f t="shared" si="208"/>
        <v/>
      </c>
      <c r="AC73" s="13" t="str">
        <f t="shared" si="209"/>
        <v xml:space="preserve"> </v>
      </c>
      <c r="AD73" s="13" t="str">
        <f t="shared" si="210"/>
        <v/>
      </c>
      <c r="AE73" s="13" t="str">
        <f t="shared" si="216"/>
        <v/>
      </c>
      <c r="AF73" s="13" t="str">
        <f t="shared" si="217"/>
        <v/>
      </c>
      <c r="AG73" s="13" t="str">
        <f t="shared" si="218"/>
        <v/>
      </c>
    </row>
    <row r="74" spans="6:33" s="13" customFormat="1" hidden="1" x14ac:dyDescent="0.3">
      <c r="F74" s="13" t="str">
        <f t="shared" si="211"/>
        <v xml:space="preserve"> </v>
      </c>
      <c r="G74" s="68" t="str">
        <f t="shared" ref="G74:H74" si="228">IF(G150="","",G150)</f>
        <v/>
      </c>
      <c r="H74" s="13" t="str">
        <f t="shared" si="228"/>
        <v/>
      </c>
      <c r="I74" s="14" t="str">
        <f t="shared" ref="I74:L74" si="229">IF(I150="","",I150)</f>
        <v/>
      </c>
      <c r="J74" s="14" t="str">
        <f t="shared" si="229"/>
        <v/>
      </c>
      <c r="K74" s="14" t="str">
        <f t="shared" si="229"/>
        <v/>
      </c>
      <c r="L74" s="14" t="str">
        <f t="shared" si="229"/>
        <v/>
      </c>
      <c r="M74" s="15" t="str">
        <f>IF('Vereine - Clubs'!E41=""," ",'Vereine - Clubs'!E41)</f>
        <v xml:space="preserve"> </v>
      </c>
      <c r="N74" s="69"/>
      <c r="O74" s="38"/>
      <c r="P74" s="14"/>
      <c r="Q74" s="14"/>
      <c r="R74" s="32"/>
      <c r="S74" s="49"/>
      <c r="T74" s="70" t="str">
        <f t="shared" ref="T74:W74" si="230">$G150&amp;" "&amp;$H150</f>
        <v xml:space="preserve"> </v>
      </c>
      <c r="U74" s="17"/>
      <c r="V74" s="17"/>
      <c r="W74" s="17" t="str">
        <f t="shared" si="230"/>
        <v xml:space="preserve"> </v>
      </c>
      <c r="X74" s="17"/>
      <c r="Y74" s="50"/>
      <c r="Z74" s="16"/>
      <c r="AA74" s="14" t="str">
        <f t="shared" si="215"/>
        <v/>
      </c>
      <c r="AB74" s="14" t="str">
        <f t="shared" si="208"/>
        <v/>
      </c>
      <c r="AC74" s="13" t="str">
        <f t="shared" si="209"/>
        <v xml:space="preserve"> </v>
      </c>
      <c r="AD74" s="13" t="str">
        <f t="shared" si="210"/>
        <v/>
      </c>
      <c r="AE74" s="13" t="str">
        <f t="shared" si="216"/>
        <v/>
      </c>
      <c r="AF74" s="13" t="str">
        <f t="shared" si="217"/>
        <v/>
      </c>
      <c r="AG74" s="13" t="str">
        <f t="shared" si="218"/>
        <v/>
      </c>
    </row>
    <row r="75" spans="6:33" s="13" customFormat="1" hidden="1" x14ac:dyDescent="0.3">
      <c r="F75" s="13" t="str">
        <f t="shared" si="211"/>
        <v xml:space="preserve"> </v>
      </c>
      <c r="G75" s="68" t="str">
        <f t="shared" ref="G75:H75" si="231">IF(G151="","",G151)</f>
        <v/>
      </c>
      <c r="H75" s="13" t="str">
        <f t="shared" si="231"/>
        <v/>
      </c>
      <c r="I75" s="14" t="str">
        <f t="shared" ref="I75:L75" si="232">IF(I151="","",I151)</f>
        <v/>
      </c>
      <c r="J75" s="14" t="str">
        <f t="shared" si="232"/>
        <v/>
      </c>
      <c r="K75" s="14" t="str">
        <f t="shared" si="232"/>
        <v/>
      </c>
      <c r="L75" s="14" t="str">
        <f t="shared" si="232"/>
        <v/>
      </c>
      <c r="M75" s="15" t="str">
        <f>IF('Vereine - Clubs'!E42=""," ",'Vereine - Clubs'!E42)</f>
        <v xml:space="preserve"> </v>
      </c>
      <c r="N75" s="69"/>
      <c r="O75" s="38"/>
      <c r="P75" s="14"/>
      <c r="Q75" s="14"/>
      <c r="R75" s="32"/>
      <c r="S75" s="49"/>
      <c r="T75" s="70" t="str">
        <f t="shared" ref="T75:W75" si="233">$G151&amp;" "&amp;$H151</f>
        <v xml:space="preserve"> </v>
      </c>
      <c r="U75" s="17"/>
      <c r="V75" s="17"/>
      <c r="W75" s="17" t="str">
        <f t="shared" si="233"/>
        <v xml:space="preserve"> </v>
      </c>
      <c r="X75" s="17"/>
      <c r="Y75" s="50"/>
      <c r="Z75" s="16"/>
      <c r="AA75" s="14" t="str">
        <f t="shared" si="215"/>
        <v/>
      </c>
      <c r="AB75" s="14" t="str">
        <f t="shared" si="208"/>
        <v/>
      </c>
      <c r="AC75" s="13" t="str">
        <f t="shared" si="209"/>
        <v xml:space="preserve"> </v>
      </c>
      <c r="AD75" s="13" t="str">
        <f t="shared" si="210"/>
        <v/>
      </c>
      <c r="AE75" s="13" t="str">
        <f t="shared" si="216"/>
        <v/>
      </c>
      <c r="AF75" s="13" t="str">
        <f t="shared" si="217"/>
        <v/>
      </c>
      <c r="AG75" s="13" t="str">
        <f t="shared" si="218"/>
        <v/>
      </c>
    </row>
    <row r="76" spans="6:33" s="13" customFormat="1" hidden="1" x14ac:dyDescent="0.3">
      <c r="F76" s="13" t="str">
        <f t="shared" si="211"/>
        <v xml:space="preserve"> </v>
      </c>
      <c r="G76" s="68" t="str">
        <f t="shared" ref="G76:H76" si="234">IF(G152="","",G152)</f>
        <v/>
      </c>
      <c r="H76" s="13" t="str">
        <f t="shared" si="234"/>
        <v/>
      </c>
      <c r="I76" s="14" t="str">
        <f t="shared" ref="I76:L76" si="235">IF(I152="","",I152)</f>
        <v/>
      </c>
      <c r="J76" s="14" t="str">
        <f t="shared" si="235"/>
        <v/>
      </c>
      <c r="K76" s="14" t="str">
        <f t="shared" si="235"/>
        <v/>
      </c>
      <c r="L76" s="14" t="str">
        <f t="shared" si="235"/>
        <v/>
      </c>
      <c r="M76" s="15" t="str">
        <f>IF('Vereine - Clubs'!E43=""," ",'Vereine - Clubs'!E43)</f>
        <v xml:space="preserve"> </v>
      </c>
      <c r="N76" s="69"/>
      <c r="O76" s="38"/>
      <c r="P76" s="14"/>
      <c r="Q76" s="14"/>
      <c r="R76" s="32"/>
      <c r="S76" s="49"/>
      <c r="T76" s="70" t="str">
        <f t="shared" ref="T76:W76" si="236">$G152&amp;" "&amp;$H152</f>
        <v xml:space="preserve"> </v>
      </c>
      <c r="U76" s="17"/>
      <c r="V76" s="17"/>
      <c r="W76" s="17" t="str">
        <f t="shared" si="236"/>
        <v xml:space="preserve"> </v>
      </c>
      <c r="X76" s="17"/>
      <c r="Y76" s="50"/>
      <c r="Z76" s="16"/>
      <c r="AA76" s="14" t="str">
        <f t="shared" si="215"/>
        <v/>
      </c>
      <c r="AB76" s="14" t="str">
        <f t="shared" si="208"/>
        <v/>
      </c>
      <c r="AC76" s="13" t="str">
        <f t="shared" si="209"/>
        <v xml:space="preserve"> </v>
      </c>
      <c r="AD76" s="13" t="str">
        <f t="shared" si="210"/>
        <v/>
      </c>
      <c r="AE76" s="13" t="str">
        <f t="shared" si="216"/>
        <v/>
      </c>
      <c r="AF76" s="13" t="str">
        <f t="shared" si="217"/>
        <v/>
      </c>
      <c r="AG76" s="13" t="str">
        <f t="shared" si="218"/>
        <v/>
      </c>
    </row>
    <row r="77" spans="6:33" s="13" customFormat="1" hidden="1" x14ac:dyDescent="0.3">
      <c r="F77" s="13" t="str">
        <f t="shared" si="211"/>
        <v xml:space="preserve"> </v>
      </c>
      <c r="G77" s="68" t="str">
        <f t="shared" ref="G77:H77" si="237">IF(G153="","",G153)</f>
        <v/>
      </c>
      <c r="H77" s="13" t="str">
        <f t="shared" si="237"/>
        <v/>
      </c>
      <c r="I77" s="14" t="str">
        <f t="shared" ref="I77:L77" si="238">IF(I153="","",I153)</f>
        <v/>
      </c>
      <c r="J77" s="14" t="str">
        <f t="shared" si="238"/>
        <v/>
      </c>
      <c r="K77" s="14" t="str">
        <f t="shared" si="238"/>
        <v/>
      </c>
      <c r="L77" s="14" t="str">
        <f t="shared" si="238"/>
        <v/>
      </c>
      <c r="M77" s="15" t="str">
        <f>IF('Vereine - Clubs'!E44=""," ",'Vereine - Clubs'!E44)</f>
        <v xml:space="preserve"> </v>
      </c>
      <c r="N77" s="69"/>
      <c r="O77" s="38"/>
      <c r="P77" s="14"/>
      <c r="Q77" s="14"/>
      <c r="R77" s="32"/>
      <c r="S77" s="49"/>
      <c r="T77" s="70" t="str">
        <f t="shared" ref="T77:W77" si="239">$G153&amp;" "&amp;$H153</f>
        <v xml:space="preserve"> </v>
      </c>
      <c r="U77" s="17"/>
      <c r="V77" s="17"/>
      <c r="W77" s="17" t="str">
        <f t="shared" si="239"/>
        <v xml:space="preserve"> </v>
      </c>
      <c r="X77" s="17"/>
      <c r="Y77" s="50"/>
      <c r="Z77" s="16"/>
      <c r="AA77" s="14" t="str">
        <f t="shared" si="215"/>
        <v/>
      </c>
      <c r="AB77" s="14" t="str">
        <f t="shared" si="208"/>
        <v/>
      </c>
      <c r="AC77" s="13" t="str">
        <f t="shared" si="209"/>
        <v xml:space="preserve"> </v>
      </c>
      <c r="AD77" s="13" t="str">
        <f t="shared" si="210"/>
        <v/>
      </c>
      <c r="AE77" s="13" t="str">
        <f t="shared" si="216"/>
        <v/>
      </c>
      <c r="AF77" s="13" t="str">
        <f t="shared" si="217"/>
        <v/>
      </c>
      <c r="AG77" s="13" t="str">
        <f t="shared" si="218"/>
        <v/>
      </c>
    </row>
    <row r="78" spans="6:33" s="13" customFormat="1" hidden="1" x14ac:dyDescent="0.3">
      <c r="F78" s="13" t="str">
        <f t="shared" si="211"/>
        <v xml:space="preserve"> </v>
      </c>
      <c r="G78" s="68" t="str">
        <f t="shared" ref="G78:H78" si="240">IF(G154="","",G154)</f>
        <v/>
      </c>
      <c r="H78" s="13" t="str">
        <f t="shared" si="240"/>
        <v/>
      </c>
      <c r="I78" s="14" t="str">
        <f t="shared" ref="I78:L78" si="241">IF(I154="","",I154)</f>
        <v/>
      </c>
      <c r="J78" s="14" t="str">
        <f t="shared" si="241"/>
        <v/>
      </c>
      <c r="K78" s="14" t="str">
        <f t="shared" si="241"/>
        <v/>
      </c>
      <c r="L78" s="14" t="str">
        <f t="shared" si="241"/>
        <v/>
      </c>
      <c r="M78" s="15" t="str">
        <f>IF('Vereine - Clubs'!E45=""," ",'Vereine - Clubs'!E45)</f>
        <v xml:space="preserve"> </v>
      </c>
      <c r="N78" s="69"/>
      <c r="O78" s="38"/>
      <c r="P78" s="14"/>
      <c r="Q78" s="14"/>
      <c r="R78" s="32"/>
      <c r="S78" s="49"/>
      <c r="T78" s="70" t="s">
        <v>116</v>
      </c>
      <c r="U78" s="17"/>
      <c r="V78" s="17"/>
      <c r="W78" s="17" t="s">
        <v>116</v>
      </c>
      <c r="X78" s="17"/>
      <c r="Y78" s="50"/>
      <c r="Z78" s="16"/>
      <c r="AA78" s="14" t="str">
        <f t="shared" si="215"/>
        <v/>
      </c>
      <c r="AB78" s="14" t="str">
        <f t="shared" si="208"/>
        <v/>
      </c>
      <c r="AC78" s="13" t="str">
        <f t="shared" si="209"/>
        <v xml:space="preserve"> </v>
      </c>
      <c r="AD78" s="13" t="str">
        <f t="shared" si="210"/>
        <v/>
      </c>
      <c r="AE78" s="13" t="str">
        <f t="shared" si="216"/>
        <v/>
      </c>
      <c r="AF78" s="13" t="str">
        <f t="shared" si="217"/>
        <v/>
      </c>
      <c r="AG78" s="13" t="str">
        <f t="shared" si="218"/>
        <v/>
      </c>
    </row>
    <row r="79" spans="6:33" s="13" customFormat="1" hidden="1" x14ac:dyDescent="0.3">
      <c r="F79" s="13" t="str">
        <f t="shared" si="211"/>
        <v xml:space="preserve"> </v>
      </c>
      <c r="G79" s="68" t="str">
        <f t="shared" ref="G79:H79" si="242">IF(G155="","",G155)</f>
        <v/>
      </c>
      <c r="H79" s="13" t="str">
        <f t="shared" si="242"/>
        <v/>
      </c>
      <c r="I79" s="14" t="str">
        <f t="shared" ref="I79:L79" si="243">IF(I155="","",I155)</f>
        <v/>
      </c>
      <c r="J79" s="14" t="str">
        <f t="shared" si="243"/>
        <v/>
      </c>
      <c r="K79" s="14" t="str">
        <f t="shared" si="243"/>
        <v/>
      </c>
      <c r="L79" s="14" t="str">
        <f t="shared" si="243"/>
        <v/>
      </c>
      <c r="M79" s="15" t="str">
        <f>IF('Vereine - Clubs'!E46=""," ",'Vereine - Clubs'!E46)</f>
        <v xml:space="preserve"> </v>
      </c>
      <c r="N79" s="69"/>
      <c r="O79" s="38"/>
      <c r="P79" s="14"/>
      <c r="Q79" s="14"/>
      <c r="R79" s="32"/>
      <c r="S79" s="49"/>
      <c r="T79" s="70" t="s">
        <v>94</v>
      </c>
      <c r="U79" s="17"/>
      <c r="V79" s="17"/>
      <c r="W79" s="17" t="s">
        <v>94</v>
      </c>
      <c r="X79" s="17"/>
      <c r="Y79" s="50"/>
      <c r="Z79" s="16"/>
      <c r="AA79" s="14" t="str">
        <f t="shared" si="215"/>
        <v/>
      </c>
      <c r="AB79" s="14" t="str">
        <f t="shared" si="208"/>
        <v/>
      </c>
      <c r="AC79" s="13" t="str">
        <f t="shared" si="209"/>
        <v xml:space="preserve"> </v>
      </c>
      <c r="AD79" s="13" t="str">
        <f t="shared" si="210"/>
        <v/>
      </c>
      <c r="AE79" s="13" t="str">
        <f t="shared" si="216"/>
        <v/>
      </c>
      <c r="AF79" s="13" t="str">
        <f t="shared" si="217"/>
        <v/>
      </c>
      <c r="AG79" s="13" t="str">
        <f t="shared" si="218"/>
        <v/>
      </c>
    </row>
    <row r="80" spans="6:33" s="13" customFormat="1" ht="15" hidden="1" customHeight="1" x14ac:dyDescent="0.3">
      <c r="F80" s="13" t="str">
        <f t="shared" si="211"/>
        <v xml:space="preserve"> </v>
      </c>
      <c r="G80" s="68" t="str">
        <f t="shared" ref="G80:H80" si="244">IF(G156="","",G156)</f>
        <v/>
      </c>
      <c r="H80" s="13" t="str">
        <f t="shared" si="244"/>
        <v/>
      </c>
      <c r="I80" s="14" t="str">
        <f t="shared" ref="I80:L80" si="245">IF(I156="","",I156)</f>
        <v/>
      </c>
      <c r="J80" s="14" t="str">
        <f t="shared" si="245"/>
        <v/>
      </c>
      <c r="K80" s="14" t="str">
        <f t="shared" si="245"/>
        <v/>
      </c>
      <c r="L80" s="14" t="str">
        <f t="shared" si="245"/>
        <v/>
      </c>
      <c r="M80" s="15" t="str">
        <f>IF('Vereine - Clubs'!E47=""," ",'Vereine - Clubs'!E47)</f>
        <v xml:space="preserve"> </v>
      </c>
      <c r="N80" s="69"/>
      <c r="O80" s="38"/>
      <c r="P80" s="14"/>
      <c r="Q80" s="14"/>
      <c r="R80" s="32"/>
      <c r="S80" s="49"/>
      <c r="T80" s="70" t="s">
        <v>93</v>
      </c>
      <c r="U80" s="17"/>
      <c r="V80" s="17"/>
      <c r="W80" s="17" t="s">
        <v>93</v>
      </c>
      <c r="X80" s="17"/>
      <c r="Y80" s="50"/>
      <c r="Z80" s="16"/>
      <c r="AA80" s="14" t="str">
        <f t="shared" si="215"/>
        <v/>
      </c>
      <c r="AB80" s="14" t="str">
        <f t="shared" si="208"/>
        <v/>
      </c>
      <c r="AC80" s="13" t="str">
        <f t="shared" si="209"/>
        <v xml:space="preserve"> </v>
      </c>
      <c r="AD80" s="13" t="str">
        <f t="shared" si="210"/>
        <v/>
      </c>
      <c r="AE80" s="13" t="str">
        <f t="shared" si="216"/>
        <v/>
      </c>
      <c r="AF80" s="13" t="str">
        <f t="shared" si="217"/>
        <v/>
      </c>
      <c r="AG80" s="13" t="str">
        <f t="shared" si="218"/>
        <v/>
      </c>
    </row>
    <row r="81" spans="1:31" ht="15" customHeight="1" x14ac:dyDescent="0.3">
      <c r="A81" s="91" t="str">
        <f>IF(AND(G81&lt;&gt;"",H81&lt;&gt;"",COUNTIF(T:T,H81&amp;" "&amp;G81)+COUNTIF(W:W,H81&amp;" "&amp;G81)&gt;0),"Vertauscht","")</f>
        <v/>
      </c>
      <c r="B81" s="10" t="str">
        <f>IF(G81="","",MAX(B$1:B80)+1)</f>
        <v/>
      </c>
      <c r="C81" s="10" t="str">
        <f>IF(B81="","",SUMIF('Vereine - Clubs'!$E$28:$E$47,M81,'Vereine - Clubs'!$C$28:$C$47)*100+B81)</f>
        <v/>
      </c>
      <c r="D81" s="10" t="str">
        <f t="shared" ref="D81:D112" si="246">IF(OR($G81="",S81=""),"",C81)</f>
        <v/>
      </c>
      <c r="E81" s="10" t="str">
        <f>IF(OR($G81="",T81=""),"",IF(AND(SUMIF(T$81:T81,G81&amp;" "&amp;H81,C$81:C81)&lt;20000,OR(COUNTIF(T$81:T81,G81&amp;" "&amp;H81)&gt;0,C81&gt;20000)),"",C81))</f>
        <v/>
      </c>
      <c r="F81" s="10" t="str">
        <f>IF(OR($G81="",W81=""),"",IF(AND(SUMIF(W$81:W81,G81&amp;" "&amp;H81,C$81:C81)&lt;20000,OR(COUNTIF(W$81:W81,G81&amp;" "&amp;H81)&gt;0,C81&gt;20000)),"",C81))</f>
        <v/>
      </c>
      <c r="G81" s="66"/>
      <c r="H81" s="52"/>
      <c r="I81" s="8"/>
      <c r="J81" s="80"/>
      <c r="K81" s="53" t="str">
        <f>IF(J81="","",
IF(YEAR(J81)&gt;=2016,11,
IF(YEAR(J81)&gt;=2014,13,
IF(YEAR(J81)&gt;=2012,15,
IF(YEAR(J81)&gt;=2010,17,
IF(YEAR(J81)&gt;=2008,19,"---"))))))</f>
        <v/>
      </c>
      <c r="L81" s="8"/>
      <c r="M81" s="67" t="str">
        <f>IF(G81="","",'Vereine - Clubs'!$E$28)</f>
        <v/>
      </c>
      <c r="N81" s="40"/>
      <c r="O81" s="43" t="str">
        <f>IF(J81="","",
IF(YEAR(J81)&gt;=2014,11,
IF(YEAR(J81)&gt;=2012,13,
IF(YEAR(J81)&gt;=2010,15,
IF(YEAR(J81)&gt;=2008,17,"---")))))</f>
        <v/>
      </c>
      <c r="P81" s="39"/>
      <c r="Q81" s="39"/>
      <c r="R81" s="40"/>
      <c r="S81" s="51" t="str">
        <f>IF(G81="","",
IF(OR(VLOOKUP(M81,'Vereine - Clubs'!E:H,4,0)="Nein",VLOOKUP(M81,'Vereine - Clubs'!E:H,4,0)="No",VLOOKUP(M81,'Vereine - Clubs'!E:H,4,0)="",VLOOKUP(M81,'Vereine - Clubs'!E:H,4,0)="nein",VLOOKUP(M81,'Vereine - Clubs'!E:H,4,0)="no",VLOOKUP(M81,'Vereine - Clubs'!E:H,4,0)=""),"","x"))</f>
        <v/>
      </c>
      <c r="T81" s="66"/>
      <c r="U81" s="53" t="str">
        <f t="shared" ref="U81:U83" si="247">IF(T81="","",IF(OR(T81="Freimeldung",T81="searching for partner",T81="x-partner"),K81,
IF(ISERROR(VLOOKUP(T81,$F$5:$AT$80,1,0)),"",IF(OR(K81="---",VLOOKUP(T81,$F$5:$X$80,6,0)="---"),"",
MAX(11,IF($K81="",19,$K81),IF(VLOOKUP(T81,$F$5:$X$80,6,0)="",19,VLOOKUP(T81,$F$5:$X$80,6,0)))))))</f>
        <v/>
      </c>
      <c r="V81" s="53" t="str">
        <f>IF(T81="","",IF(OR(T81="Freimeldung",T81="searching for partner",T81="x-partner"),IF(L81="C","B",L81),
IF(ISERROR(VLOOKUP(T81,$F$5:$AT$80,1,0)),"",
IF(OR(K81="---",VLOOKUP(T81,$F$5:$X$80,6,0)="---"),"",
IF(AND(OR(U81=11,U81=19,U81=20,K81=11,K81=19,K81=20),OR($L81="B",VLOOKUP(T81,$F$5:$X$80,7,0)="B"),"###"="####"),"A",
IF(OR($L81="A",VLOOKUP(T81,$F$5:$X$80,7,0)="A"),"A",
IF(OR($L81="B",VLOOKUP(T81,$F$5:$X$80,7,0)="B"),"B","C")))))))</f>
        <v/>
      </c>
      <c r="W81" s="52"/>
      <c r="X81" s="53" t="str">
        <f t="shared" ref="X81:X83" si="248">IF(W81="","",IF(OR(W81="Freimeldung",W81="searching for partner",W81="x-partner"),K81,
IF(ISERROR(VLOOKUP(W81,$F$5:$AT$80,1,0)),"",
MAX(IF(AND(L81="A",VLOOKUP(W81,$F$5:$X$80,7,0)="A"),11,13),IF($K81="",19,$K81),IF(VLOOKUP(W81,$F$5:$X$80,6,0)="",19,VLOOKUP(W81,$F$5:$X$80,6,0))))))</f>
        <v/>
      </c>
      <c r="Y81" s="54" t="str">
        <f>IF(W81="","",IF(OR(W81="Freimeldung",W81="searching for partner",W81="x-partner"),IF(L81="C","B",L81),
IF(ISERROR(VLOOKUP(W81,$F$5:$AT$80,1,0)),"",
IF(OR(K81="---",VLOOKUP(W81,$F$5:$X$80,6,0)="---"),"",
IF(AND(OR(X81=11,X81=19,X81=20,K81=11,K81=19,K81=20),OR($L81="B",VLOOKUP(W81,$F$5:$X$80,7,0)="B"),"###"="####"),"A",
IF(OR($L81="A",VLOOKUP(W81,$F$5:$X$80,7,0)="A"),"A",
IF(OR($L81="B",VLOOKUP(W81,$F$5:$X$80,7,0)="B"),"B","C")))))))</f>
        <v/>
      </c>
      <c r="Z81" s="21" t="str">
        <f>IF(T81="","",IF(OR(T81="searching for partner",T81="Freimeldung",T81="x-partner"),"",IF(ISERROR(VLOOKUP(T81,$F$5:$AT$80,1,0)),IF(Englisch&lt;&gt;"","Please add double partner as participant.     ","Doppelpartner/in bitte noch als Teilnehmer eintragen.     "),IF(VLOOKUP(T81,$F$5:$R$80,4,0)=I81,"",IF(Englisch&lt;&gt;"","Wrong doubles partner     ","Falsche/r Doppelpartner/in     ")))))
&amp;IF(W81="","",IF(OR(W81="searching for partner",W81="Freimeldung",W81="x-partner"),"",IF(ISERROR(VLOOKUP(W81,$F$5:$AT$80,1,0)),IF(Englisch&lt;&gt;"","Please add mixed partner as participant     ","Mixedpartner/in bitte noch als Teilnehmer eintragen.     "),IF(VLOOKUP(W81,$F$5:$R$80,4,0)&lt;&gt;I81,"",IF(Englisch&lt;&gt;"","Wrong mixed partner.     ","Falsche/r Mixedpartner/in     ")))))
&amp;IF(AND(L81&lt;&gt;"",L81&lt;&gt;"A",L81&lt;&gt;"B",L81&lt;&gt;"C",L81&lt;&gt;"D"),IF(Englisch&lt;&gt;"","There is level A,B and C.   ","Dieses Jahr gibt es A-, B- und C-Klassen. Bitte korrigieren.   "),"")
&amp;
IF(AND(L81="B",OR(K81=911)),IF(Englisch&lt;&gt;"","There ist no level B in this age group. Please play in A.   ","In dieser Altersklasse keine B-Klasse. Bitte spiele in A.  "),"")&amp;
IF(AND(L81="A",OR(K81=915,K81=917,K81=919)),IF(Englisch&lt;&gt;"","There ist no level A in this age group. Please play in B.   ","In dieser Altersklasse keine A-Klasse. Bitte spiele in B.  "),"")
&amp;
IF(AND(M81&lt;&gt;"",COUNTIF('Vereine - Clubs'!$E$28:$E$47,M81)=0),IF(Englisch&lt;&gt;"","Please check club   ","Bitte den Verein überprüfen.   "),"")
&amp;
IF(AND(N81="",OR(AND(K81=11,L81="a"),AND(K81=13,L81="a"))),IFERROR(IF(VLOOKUP(M81,Vereine,4,0)="Nein","",IF(Englisch&lt;&gt;"","Please fill in turnier.de player ID   ","Bitte Spielernummer Turnier.de eintragen.   ")),""),"")
&amp;
IF(M81="","",IF(AND(VLOOKUP(M81,'Vereine - Clubs'!$E:$H,4,0)="Nein",'Teilnehmende - Starters'!S81="x"),IF(Englisch&lt;&gt;"","You can enter singles only if you pay for them.    ","EInzelteilnahme nur bei Übernahme der Bezahlung möglich.    "),""))
&amp;
IF(AND($L81="",$G81&lt;&gt;"",OR($N81&lt;&gt;"",$T81&lt;&gt;"",$W81&lt;&gt;"")),IF(Englisch&lt;&gt;"","Please add the level.     ","Bitte Spielklasse ergänzen.     "),"")</f>
        <v/>
      </c>
      <c r="AA81" s="4">
        <f t="shared" ref="AA81:AA112" si="249">IF(AND(T81&lt;&gt;"",C81&lt;100000),1,0)</f>
        <v>0</v>
      </c>
      <c r="AB81" s="4">
        <f t="shared" ref="AB81:AB112" si="250">IF(AND(W81&lt;&gt;"",C81&lt;100000),1,0)</f>
        <v>0</v>
      </c>
      <c r="AC81" t="s">
        <v>95</v>
      </c>
      <c r="AD81" s="89" t="s">
        <v>127</v>
      </c>
      <c r="AE81" s="89" t="s">
        <v>130</v>
      </c>
    </row>
    <row r="82" spans="1:31" ht="15" customHeight="1" x14ac:dyDescent="0.3">
      <c r="A82" s="91" t="str">
        <f t="shared" ref="A82:A145" si="251">IF(AND(G82&lt;&gt;"",H82&lt;&gt;"",COUNTIF(T:T,H82&amp;" "&amp;G82)+COUNTIF(W:W,H82&amp;" "&amp;G82)&gt;0),"Vertauscht","")</f>
        <v/>
      </c>
      <c r="B82" s="10" t="str">
        <f>IF(G82="","",MAX(B$1:B81)+1)</f>
        <v/>
      </c>
      <c r="C82" s="10" t="str">
        <f>IF(B82="","",SUMIF('Vereine - Clubs'!$E$28:$E$47,M82,'Vereine - Clubs'!$C$28:$C$47)*100+B82)</f>
        <v/>
      </c>
      <c r="D82" s="10" t="str">
        <f t="shared" si="246"/>
        <v/>
      </c>
      <c r="E82" s="10" t="str">
        <f>IF(OR($G82="",T82=""),"",IF(AND(SUMIF(T$81:T82,G82&amp;" "&amp;H82,C$81:C82)&lt;20000,OR(COUNTIF(T$81:T82,G82&amp;" "&amp;H82)&gt;0,C82&gt;20000)),"",C82))</f>
        <v/>
      </c>
      <c r="F82" s="10" t="str">
        <f>IF(OR($G82="",W82=""),"",IF(AND(SUMIF(W$81:W82,G82&amp;" "&amp;H82,C$81:C82)&lt;20000,OR(COUNTIF(W$81:W82,G82&amp;" "&amp;H82)&gt;0,C82&gt;20000)),"",C82))</f>
        <v/>
      </c>
      <c r="G82" s="66"/>
      <c r="H82" s="52"/>
      <c r="I82" s="8"/>
      <c r="J82" s="80"/>
      <c r="K82" s="53" t="str">
        <f t="shared" ref="K82:K145" si="252">IF(J82="","",
IF(YEAR(J82)&gt;=2016,11,
IF(YEAR(J82)&gt;=2014,13,
IF(YEAR(J82)&gt;=2012,15,
IF(YEAR(J82)&gt;=2010,17,
IF(YEAR(J82)&gt;=2008,19,"---"))))))</f>
        <v/>
      </c>
      <c r="L82" s="8"/>
      <c r="M82" s="67" t="str">
        <f>IF(G82="","",'Vereine - Clubs'!$E$28)</f>
        <v/>
      </c>
      <c r="N82" s="40"/>
      <c r="O82" s="43" t="str">
        <f t="shared" ref="O82:O145" si="253">IF(J82="","",
IF(YEAR(J82)&gt;=2014,11,
IF(YEAR(J82)&gt;=2012,13,
IF(YEAR(J82)&gt;=2010,15,
IF(YEAR(J82)&gt;=2008,17,"---")))))</f>
        <v/>
      </c>
      <c r="P82" s="39"/>
      <c r="Q82" s="39"/>
      <c r="R82" s="40"/>
      <c r="S82" s="51" t="str">
        <f>IF(G82="","",
IF(OR(VLOOKUP(M82,'Vereine - Clubs'!E:H,4,0)="Nein",VLOOKUP(M82,'Vereine - Clubs'!E:H,4,0)="No",VLOOKUP(M82,'Vereine - Clubs'!E:H,4,0)="",VLOOKUP(M82,'Vereine - Clubs'!E:H,4,0)="nein",VLOOKUP(M82,'Vereine - Clubs'!E:H,4,0)="no",VLOOKUP(M82,'Vereine - Clubs'!E:H,4,0)=""),"","x"))</f>
        <v/>
      </c>
      <c r="T82" s="66" t="str">
        <f>IF(COUNTIF(T$81:T81,G82&amp;" "&amp;H82)=0,"",VLOOKUP(G82&amp;" "&amp;H82,$AA$5:$AC$80,3,FALSE))</f>
        <v/>
      </c>
      <c r="U82" s="53" t="str">
        <f t="shared" si="247"/>
        <v/>
      </c>
      <c r="V82" s="53" t="str">
        <f t="shared" ref="V82:V145" si="254">IF(T82="","",IF(OR(T82="Freimeldung",T82="searching for partner",T82="x-partner"),IF(L82="C","B",L82),
IF(ISERROR(VLOOKUP(T82,$F$5:$AT$80,1,0)),"",
IF(OR(K82="---",VLOOKUP(T82,$F$5:$X$80,6,0)="---"),"",
IF(AND(OR(U82=11,U82=19,U82=20,K82=11,K82=19,K82=20),OR($L82="B",VLOOKUP(T82,$F$5:$X$80,7,0)="B"),"###"="####"),"A",
IF(OR($L82="A",VLOOKUP(T82,$F$5:$X$80,7,0)="A"),"A",
IF(OR($L82="B",VLOOKUP(T82,$F$5:$X$80,7,0)="B"),"B","C")))))))</f>
        <v/>
      </c>
      <c r="W82" s="52" t="str">
        <f>IF(COUNTIF(W$81:W81,G82&amp;" "&amp;H82)=0,"",VLOOKUP(G82&amp;" "&amp;H82,$AB$5:$AC$80,2,FALSE))</f>
        <v/>
      </c>
      <c r="X82" s="53" t="str">
        <f t="shared" si="248"/>
        <v/>
      </c>
      <c r="Y82" s="54" t="str">
        <f t="shared" ref="Y82:Y145" si="255">IF(W82="","",IF(OR(W82="Freimeldung",W82="searching for partner",W82="x-partner"),IF(L82="C","B",L82),
IF(ISERROR(VLOOKUP(W82,$F$5:$AT$80,1,0)),"",
IF(OR(K82="---",VLOOKUP(W82,$F$5:$X$80,6,0)="---"),"",
IF(AND(OR(X82=11,X82=19,X82=20,K82=11,K82=19,K82=20),OR($L82="B",VLOOKUP(W82,$F$5:$X$80,7,0)="B"),"###"="####"),"A",
IF(OR($L82="A",VLOOKUP(W82,$F$5:$X$80,7,0)="A"),"A",
IF(OR($L82="B",VLOOKUP(W82,$F$5:$X$80,7,0)="B"),"B","C")))))))</f>
        <v/>
      </c>
      <c r="Z82" s="21" t="str">
        <f>IF(T82="","",IF(OR(T82="searching for partner",T82="Freimeldung",T82="x-partner"),"",IF(ISERROR(VLOOKUP(T82,$F$5:$AT$80,1,0)),IF(Englisch&lt;&gt;"","Please add double partner as participant.     ","Doppelpartner/in bitte noch als Teilnehmer eintragen.     "),IF(VLOOKUP(T82,$F$5:$R$80,4,0)=I82,"",IF(Englisch&lt;&gt;"","Wrong doubles partner     ","Falsche/r Doppelpartner/in     ")))))
&amp;IF(W82="","",IF(OR(W82="searching for partner",W82="Freimeldung",W82="x-partner"),"",IF(ISERROR(VLOOKUP(W82,$F$5:$AT$80,1,0)),IF(Englisch&lt;&gt;"","Please add mixed partner as participant     ","Mixedpartner/in bitte noch als Teilnehmer eintragen.     "),IF(VLOOKUP(W82,$F$5:$R$80,4,0)&lt;&gt;I82,"",IF(Englisch&lt;&gt;"","Wrong mixed partner.     ","Falsche/r Mixedpartner/in     ")))))
&amp;IF(AND(L82&lt;&gt;"",L82&lt;&gt;"A",L82&lt;&gt;"B",L82&lt;&gt;"C",L82&lt;&gt;"D"),IF(Englisch&lt;&gt;"","There is level A,B and C.   ","Dieses Jahr gibt es A-, B- und C-Klassen. Bitte korrigieren.   "),"")
&amp;
IF(AND(L82="B",OR(K82=911)),IF(Englisch&lt;&gt;"","There ist no level B in this age group. Please play in A.   ","In dieser Altersklasse keine B-Klasse. Bitte spiele in A.  "),"")&amp;
IF(AND(L82="A",OR(K82=915,K82=917,K82=919)),IF(Englisch&lt;&gt;"","There ist no level A in this age group. Please play in B.   ","In dieser Altersklasse keine A-Klasse. Bitte spiele in B.  "),"")
&amp;
IF(AND(M82&lt;&gt;"",COUNTIF('Vereine - Clubs'!$E$28:$E$47,M82)=0),IF(Englisch&lt;&gt;"","Please check club   ","Bitte den Verein überprüfen.   "),"")
&amp;
IF(AND(N82="",OR(AND(K82=11,L82="a"),AND(K82=13,L82="a"))),IFERROR(IF(VLOOKUP(M82,Vereine,4,0)="Nein","",IF(Englisch&lt;&gt;"","Please fill in turnier.de player ID   ","Bitte Spielernummer Turnier.de eintragen.   ")),""),"")
&amp;
IF(M82="","",IF(AND(VLOOKUP(M82,'Vereine - Clubs'!$E:$H,4,0)="Nein",'Teilnehmende - Starters'!S82="x"),IF(Englisch&lt;&gt;"","You can enter singles only if you pay for them.    ","EInzelteilnahme nur bei Übernahme der Bezahlung möglich.    "),""))
&amp;
IF(AND($L82="",$G82&lt;&gt;"",OR($N82&lt;&gt;"",$T82&lt;&gt;"",$W82&lt;&gt;"")),IF(Englisch&lt;&gt;"","Please add the level.     ","Bitte Spielklasse ergänzen.     "),"")</f>
        <v/>
      </c>
      <c r="AA82" s="4">
        <f t="shared" si="249"/>
        <v>0</v>
      </c>
      <c r="AB82" s="4">
        <f t="shared" si="250"/>
        <v>0</v>
      </c>
      <c r="AD82" s="89" t="s">
        <v>128</v>
      </c>
      <c r="AE82" s="89" t="s">
        <v>126</v>
      </c>
    </row>
    <row r="83" spans="1:31" ht="15" customHeight="1" x14ac:dyDescent="0.3">
      <c r="A83" s="91" t="str">
        <f t="shared" si="251"/>
        <v/>
      </c>
      <c r="B83" s="10" t="str">
        <f>IF(G83="","",MAX(B$1:B82)+1)</f>
        <v/>
      </c>
      <c r="C83" s="10" t="str">
        <f>IF(B83="","",SUMIF('Vereine - Clubs'!$E$28:$E$47,M83,'Vereine - Clubs'!$C$28:$C$47)*100+B83)</f>
        <v/>
      </c>
      <c r="D83" s="10" t="str">
        <f t="shared" si="246"/>
        <v/>
      </c>
      <c r="E83" s="10" t="str">
        <f>IF(OR($G83="",T83=""),"",IF(AND(SUMIF(T$81:T83,G83&amp;" "&amp;H83,C$81:C83)&lt;20000,OR(COUNTIF(T$81:T83,G83&amp;" "&amp;H83)&gt;0,C83&gt;20000)),"",C83))</f>
        <v/>
      </c>
      <c r="F83" s="10" t="str">
        <f>IF(OR($G83="",W83=""),"",IF(AND(SUMIF(W$81:W83,G83&amp;" "&amp;H83,C$81:C83)&lt;20000,OR(COUNTIF(W$81:W83,G83&amp;" "&amp;H83)&gt;0,C83&gt;20000)),"",C83))</f>
        <v/>
      </c>
      <c r="G83" s="66"/>
      <c r="H83" s="52"/>
      <c r="I83" s="8"/>
      <c r="J83" s="80"/>
      <c r="K83" s="53" t="str">
        <f t="shared" si="252"/>
        <v/>
      </c>
      <c r="L83" s="8"/>
      <c r="M83" s="67" t="str">
        <f>IF(G83="","",'Vereine - Clubs'!$E$28)</f>
        <v/>
      </c>
      <c r="N83" s="40"/>
      <c r="O83" s="43" t="str">
        <f t="shared" si="253"/>
        <v/>
      </c>
      <c r="P83" s="39"/>
      <c r="Q83" s="39"/>
      <c r="R83" s="40"/>
      <c r="S83" s="51" t="str">
        <f>IF(G83="","",
IF(OR(VLOOKUP(M83,'Vereine - Clubs'!E:H,4,0)="Nein",VLOOKUP(M83,'Vereine - Clubs'!E:H,4,0)="No",VLOOKUP(M83,'Vereine - Clubs'!E:H,4,0)="",VLOOKUP(M83,'Vereine - Clubs'!E:H,4,0)="nein",VLOOKUP(M83,'Vereine - Clubs'!E:H,4,0)="no",VLOOKUP(M83,'Vereine - Clubs'!E:H,4,0)=""),"","x"))</f>
        <v/>
      </c>
      <c r="T83" s="66" t="str">
        <f>IF(COUNTIF(T$81:T82,G83&amp;" "&amp;H83)=0,"",VLOOKUP(G83&amp;" "&amp;H83,$AA$5:$AC$80,3,FALSE))</f>
        <v/>
      </c>
      <c r="U83" s="53" t="str">
        <f t="shared" si="247"/>
        <v/>
      </c>
      <c r="V83" s="53" t="str">
        <f t="shared" si="254"/>
        <v/>
      </c>
      <c r="W83" s="52" t="str">
        <f>IF(COUNTIF(W$81:W82,G83&amp;" "&amp;H83)=0,"",VLOOKUP(G83&amp;" "&amp;H83,$AB$5:$AC$80,2,FALSE))</f>
        <v/>
      </c>
      <c r="X83" s="53" t="str">
        <f t="shared" si="248"/>
        <v/>
      </c>
      <c r="Y83" s="54" t="str">
        <f t="shared" si="255"/>
        <v/>
      </c>
      <c r="Z83" s="21" t="str">
        <f>IF(T83="","",IF(OR(T83="searching for partner",T83="Freimeldung",T83="x-partner"),"",IF(ISERROR(VLOOKUP(T83,$F$5:$AT$80,1,0)),IF(Englisch&lt;&gt;"","Please add double partner as participant.     ","Doppelpartner/in bitte noch als Teilnehmer eintragen.     "),IF(VLOOKUP(T83,$F$5:$R$80,4,0)=I83,"",IF(Englisch&lt;&gt;"","Wrong doubles partner     ","Falsche/r Doppelpartner/in     ")))))
&amp;IF(W83="","",IF(OR(W83="searching for partner",W83="Freimeldung",W83="x-partner"),"",IF(ISERROR(VLOOKUP(W83,$F$5:$AT$80,1,0)),IF(Englisch&lt;&gt;"","Please add mixed partner as participant     ","Mixedpartner/in bitte noch als Teilnehmer eintragen.     "),IF(VLOOKUP(W83,$F$5:$R$80,4,0)&lt;&gt;I83,"",IF(Englisch&lt;&gt;"","Wrong mixed partner.     ","Falsche/r Mixedpartner/in     ")))))
&amp;IF(AND(L83&lt;&gt;"",L83&lt;&gt;"A",L83&lt;&gt;"B",L83&lt;&gt;"C",L83&lt;&gt;"D"),IF(Englisch&lt;&gt;"","There is level A,B and C.   ","Dieses Jahr gibt es A-, B- und C-Klassen. Bitte korrigieren.   "),"")
&amp;
IF(AND(L83="B",OR(K83=911)),IF(Englisch&lt;&gt;"","There ist no level B in this age group. Please play in A.   ","In dieser Altersklasse keine B-Klasse. Bitte spiele in A.  "),"")&amp;
IF(AND(L83="A",OR(K83=915,K83=917,K83=919)),IF(Englisch&lt;&gt;"","There ist no level A in this age group. Please play in B.   ","In dieser Altersklasse keine A-Klasse. Bitte spiele in B.  "),"")
&amp;
IF(AND(M83&lt;&gt;"",COUNTIF('Vereine - Clubs'!$E$28:$E$47,M83)=0),IF(Englisch&lt;&gt;"","Please check club   ","Bitte den Verein überprüfen.   "),"")
&amp;
IF(AND(N83="",OR(AND(K83=11,L83="a"),AND(K83=13,L83="a"))),IFERROR(IF(VLOOKUP(M83,Vereine,4,0)="Nein","",IF(Englisch&lt;&gt;"","Please fill in turnier.de player ID   ","Bitte Spielernummer Turnier.de eintragen.   ")),""),"")
&amp;
IF(M83="","",IF(AND(VLOOKUP(M83,'Vereine - Clubs'!$E:$H,4,0)="Nein",'Teilnehmende - Starters'!S83="x"),IF(Englisch&lt;&gt;"","You can enter singles only if you pay for them.    ","EInzelteilnahme nur bei Übernahme der Bezahlung möglich.    "),""))
&amp;
IF(AND($L83="",$G83&lt;&gt;"",OR($N83&lt;&gt;"",$T83&lt;&gt;"",$W83&lt;&gt;"")),IF(Englisch&lt;&gt;"","Please add the level.     ","Bitte Spielklasse ergänzen.     "),"")</f>
        <v/>
      </c>
      <c r="AA83" s="4">
        <f t="shared" si="249"/>
        <v>0</v>
      </c>
      <c r="AB83" s="4">
        <f t="shared" si="250"/>
        <v>0</v>
      </c>
      <c r="AD83" s="89" t="s">
        <v>129</v>
      </c>
      <c r="AE83" s="89"/>
    </row>
    <row r="84" spans="1:31" ht="15" customHeight="1" x14ac:dyDescent="0.3">
      <c r="A84" s="91" t="str">
        <f t="shared" si="251"/>
        <v/>
      </c>
      <c r="B84" s="10" t="str">
        <f>IF(G84="","",MAX(B$1:B83)+1)</f>
        <v/>
      </c>
      <c r="C84" s="10" t="str">
        <f>IF(B84="","",SUMIF('Vereine - Clubs'!$E$28:$E$47,M84,'Vereine - Clubs'!$C$28:$C$47)*100+B84)</f>
        <v/>
      </c>
      <c r="D84" s="10" t="str">
        <f t="shared" si="246"/>
        <v/>
      </c>
      <c r="E84" s="10" t="str">
        <f>IF(OR($G84="",T84=""),"",IF(AND(SUMIF(T$81:T84,G84&amp;" "&amp;H84,C$81:C84)&lt;20000,OR(COUNTIF(T$81:T84,G84&amp;" "&amp;H84)&gt;0,C84&gt;20000)),"",C84))</f>
        <v/>
      </c>
      <c r="F84" s="10" t="str">
        <f>IF(OR($G84="",W84=""),"",IF(AND(SUMIF(W$81:W84,G84&amp;" "&amp;H84,C$81:C84)&lt;20000,OR(COUNTIF(W$81:W84,G84&amp;" "&amp;H84)&gt;0,C84&gt;20000)),"",C84))</f>
        <v/>
      </c>
      <c r="G84" s="66"/>
      <c r="H84" s="52"/>
      <c r="I84" s="8"/>
      <c r="J84" s="80"/>
      <c r="K84" s="53" t="str">
        <f t="shared" si="252"/>
        <v/>
      </c>
      <c r="L84" s="8"/>
      <c r="M84" s="67" t="str">
        <f>IF(G84="","",'Vereine - Clubs'!$E$28)</f>
        <v/>
      </c>
      <c r="N84" s="40"/>
      <c r="O84" s="43" t="str">
        <f t="shared" si="253"/>
        <v/>
      </c>
      <c r="P84" s="39"/>
      <c r="Q84" s="39"/>
      <c r="R84" s="40"/>
      <c r="S84" s="51" t="str">
        <f>IF(G84="","",
IF(OR(VLOOKUP(M84,'Vereine - Clubs'!E:H,4,0)="Nein",VLOOKUP(M84,'Vereine - Clubs'!E:H,4,0)="No",VLOOKUP(M84,'Vereine - Clubs'!E:H,4,0)="",VLOOKUP(M84,'Vereine - Clubs'!E:H,4,0)="nein",VLOOKUP(M84,'Vereine - Clubs'!E:H,4,0)="no",VLOOKUP(M84,'Vereine - Clubs'!E:H,4,0)=""),"","x"))</f>
        <v/>
      </c>
      <c r="T84" s="66" t="str">
        <f>IF(COUNTIF(T$81:T83,G84&amp;" "&amp;H84)=0,"",VLOOKUP(G84&amp;" "&amp;H84,$AA$5:$AC$80,3,FALSE))</f>
        <v/>
      </c>
      <c r="U84" s="53" t="str">
        <f t="shared" ref="U84:U112" si="256">IF(T84="","",IF(OR(T84="Freimeldung",T84="searching for partner",T84="x-partner"),K84,
IF(ISERROR(VLOOKUP(T84,$F$5:$AT$80,1,0)),"",IF(OR(K84="---",VLOOKUP(T84,$F$5:$X$80,6,0)="---"),"",
MAX(11,IF($K84="",19,$K84),IF(VLOOKUP(T84,$F$5:$X$80,6,0)="",19,VLOOKUP(T84,$F$5:$X$80,6,0)))))))</f>
        <v/>
      </c>
      <c r="V84" s="53" t="str">
        <f t="shared" si="254"/>
        <v/>
      </c>
      <c r="W84" s="52" t="str">
        <f>IF(COUNTIF(W$81:W83,G84&amp;" "&amp;H84)=0,"",VLOOKUP(G84&amp;" "&amp;H84,$AB$5:$AC$80,2,FALSE))</f>
        <v/>
      </c>
      <c r="X84" s="53" t="str">
        <f t="shared" ref="X84:X146" si="257">IF(W84="","",IF(OR(W84="Freimeldung",W84="searching for partner",W84="x-partner"),K84,
IF(ISERROR(VLOOKUP(W84,$F$5:$AT$80,1,0)),"",
MAX(IF(AND(L84="A",VLOOKUP(W84,$F$5:$X$80,7,0)="A"),11,13),IF($K84="",19,$K84),IF(VLOOKUP(W84,$F$5:$X$80,6,0)="",19,VLOOKUP(W84,$F$5:$X$80,6,0))))))</f>
        <v/>
      </c>
      <c r="Y84" s="54" t="str">
        <f t="shared" si="255"/>
        <v/>
      </c>
      <c r="Z84" s="21" t="str">
        <f>IF(T84="","",IF(OR(T84="searching for partner",T84="Freimeldung",T84="x-partner"),"",IF(ISERROR(VLOOKUP(T84,$F$5:$AT$80,1,0)),IF(Englisch&lt;&gt;"","Please add double partner as participant.     ","Doppelpartner/in bitte noch als Teilnehmer eintragen.     "),IF(VLOOKUP(T84,$F$5:$R$80,4,0)=I84,"",IF(Englisch&lt;&gt;"","Wrong doubles partner     ","Falsche/r Doppelpartner/in     ")))))
&amp;IF(W84="","",IF(OR(W84="searching for partner",W84="Freimeldung",W84="x-partner"),"",IF(ISERROR(VLOOKUP(W84,$F$5:$AT$80,1,0)),IF(Englisch&lt;&gt;"","Please add mixed partner as participant     ","Mixedpartner/in bitte noch als Teilnehmer eintragen.     "),IF(VLOOKUP(W84,$F$5:$R$80,4,0)&lt;&gt;I84,"",IF(Englisch&lt;&gt;"","Wrong mixed partner.     ","Falsche/r Mixedpartner/in     ")))))
&amp;IF(AND(L84&lt;&gt;"",L84&lt;&gt;"A",L84&lt;&gt;"B",L84&lt;&gt;"C",L84&lt;&gt;"D"),IF(Englisch&lt;&gt;"","There is level A,B and C.   ","Dieses Jahr gibt es A-, B- und C-Klassen. Bitte korrigieren.   "),"")
&amp;
IF(AND(L84="B",OR(K84=911)),IF(Englisch&lt;&gt;"","There ist no level B in this age group. Please play in A.   ","In dieser Altersklasse keine B-Klasse. Bitte spiele in A.  "),"")&amp;
IF(AND(L84="A",OR(K84=915,K84=917,K84=919)),IF(Englisch&lt;&gt;"","There ist no level A in this age group. Please play in B.   ","In dieser Altersklasse keine A-Klasse. Bitte spiele in B.  "),"")
&amp;
IF(AND(M84&lt;&gt;"",COUNTIF('Vereine - Clubs'!$E$28:$E$47,M84)=0),IF(Englisch&lt;&gt;"","Please check club   ","Bitte den Verein überprüfen.   "),"")
&amp;
IF(AND(N84="",OR(AND(K84=11,L84="a"),AND(K84=13,L84="a"))),IFERROR(IF(VLOOKUP(M84,Vereine,4,0)="Nein","",IF(Englisch&lt;&gt;"","Please fill in turnier.de player ID   ","Bitte Spielernummer Turnier.de eintragen.   ")),""),"")
&amp;
IF(M84="","",IF(AND(VLOOKUP(M84,'Vereine - Clubs'!$E:$H,4,0)="Nein",'Teilnehmende - Starters'!S84="x"),IF(Englisch&lt;&gt;"","You can enter singles only if you pay for them.    ","EInzelteilnahme nur bei Übernahme der Bezahlung möglich.    "),""))
&amp;
IF(AND($L84="",$G84&lt;&gt;"",OR($N84&lt;&gt;"",$T84&lt;&gt;"",$W84&lt;&gt;"")),IF(Englisch&lt;&gt;"","Please add the level.     ","Bitte Spielklasse ergänzen.     "),"")</f>
        <v/>
      </c>
      <c r="AA84" s="4">
        <f t="shared" si="249"/>
        <v>0</v>
      </c>
      <c r="AB84" s="4">
        <f t="shared" si="250"/>
        <v>0</v>
      </c>
      <c r="AD84" s="89"/>
    </row>
    <row r="85" spans="1:31" ht="15" customHeight="1" x14ac:dyDescent="0.3">
      <c r="A85" s="91" t="str">
        <f t="shared" si="251"/>
        <v/>
      </c>
      <c r="B85" s="10" t="str">
        <f>IF(G85="","",MAX(B$1:B84)+1)</f>
        <v/>
      </c>
      <c r="C85" s="10" t="str">
        <f>IF(B85="","",SUMIF('Vereine - Clubs'!$E$28:$E$47,M85,'Vereine - Clubs'!$C$28:$C$47)*100+B85)</f>
        <v/>
      </c>
      <c r="D85" s="10" t="str">
        <f t="shared" si="246"/>
        <v/>
      </c>
      <c r="E85" s="10" t="str">
        <f>IF(OR($G85="",T85=""),"",IF(AND(SUMIF(T$81:T85,G85&amp;" "&amp;H85,C$81:C85)&lt;20000,OR(COUNTIF(T$81:T85,G85&amp;" "&amp;H85)&gt;0,C85&gt;20000)),"",C85))</f>
        <v/>
      </c>
      <c r="F85" s="10" t="str">
        <f>IF(OR($G85="",W85=""),"",IF(AND(SUMIF(W$81:W85,G85&amp;" "&amp;H85,C$81:C85)&lt;20000,OR(COUNTIF(W$81:W85,G85&amp;" "&amp;H85)&gt;0,C85&gt;20000)),"",C85))</f>
        <v/>
      </c>
      <c r="G85" s="66"/>
      <c r="H85" s="52"/>
      <c r="I85" s="8"/>
      <c r="J85" s="80"/>
      <c r="K85" s="53" t="str">
        <f t="shared" si="252"/>
        <v/>
      </c>
      <c r="L85" s="8"/>
      <c r="M85" s="67" t="str">
        <f>IF(G85="","",'Vereine - Clubs'!$E$28)</f>
        <v/>
      </c>
      <c r="N85" s="40"/>
      <c r="O85" s="43" t="str">
        <f t="shared" si="253"/>
        <v/>
      </c>
      <c r="P85" s="39"/>
      <c r="Q85" s="39"/>
      <c r="R85" s="40"/>
      <c r="S85" s="51" t="str">
        <f>IF(G85="","",
IF(OR(VLOOKUP(M85,'Vereine - Clubs'!E:H,4,0)="Nein",VLOOKUP(M85,'Vereine - Clubs'!E:H,4,0)="No",VLOOKUP(M85,'Vereine - Clubs'!E:H,4,0)="",VLOOKUP(M85,'Vereine - Clubs'!E:H,4,0)="nein",VLOOKUP(M85,'Vereine - Clubs'!E:H,4,0)="no",VLOOKUP(M85,'Vereine - Clubs'!E:H,4,0)=""),"","x"))</f>
        <v/>
      </c>
      <c r="T85" s="66" t="str">
        <f>IF(COUNTIF(T$81:T84,G85&amp;" "&amp;H85)=0,"",VLOOKUP(G85&amp;" "&amp;H85,$AA$5:$AC$80,3,FALSE))</f>
        <v/>
      </c>
      <c r="U85" s="53" t="str">
        <f t="shared" si="256"/>
        <v/>
      </c>
      <c r="V85" s="53" t="str">
        <f t="shared" si="254"/>
        <v/>
      </c>
      <c r="W85" s="52" t="str">
        <f>IF(COUNTIF(W$81:W84,G85&amp;" "&amp;H85)=0,"",VLOOKUP(G85&amp;" "&amp;H85,$AB$5:$AC$80,2,FALSE))</f>
        <v/>
      </c>
      <c r="X85" s="53" t="str">
        <f t="shared" si="257"/>
        <v/>
      </c>
      <c r="Y85" s="54" t="str">
        <f t="shared" si="255"/>
        <v/>
      </c>
      <c r="Z85" s="21" t="str">
        <f>IF(T85="","",IF(OR(T85="searching for partner",T85="Freimeldung",T85="x-partner"),"",IF(ISERROR(VLOOKUP(T85,$F$5:$AT$80,1,0)),IF(Englisch&lt;&gt;"","Please add double partner as participant.     ","Doppelpartner/in bitte noch als Teilnehmer eintragen.     "),IF(VLOOKUP(T85,$F$5:$R$80,4,0)=I85,"",IF(Englisch&lt;&gt;"","Wrong doubles partner     ","Falsche/r Doppelpartner/in     ")))))
&amp;IF(W85="","",IF(OR(W85="searching for partner",W85="Freimeldung",W85="x-partner"),"",IF(ISERROR(VLOOKUP(W85,$F$5:$AT$80,1,0)),IF(Englisch&lt;&gt;"","Please add mixed partner as participant     ","Mixedpartner/in bitte noch als Teilnehmer eintragen.     "),IF(VLOOKUP(W85,$F$5:$R$80,4,0)&lt;&gt;I85,"",IF(Englisch&lt;&gt;"","Wrong mixed partner.     ","Falsche/r Mixedpartner/in     ")))))
&amp;IF(AND(L85&lt;&gt;"",L85&lt;&gt;"A",L85&lt;&gt;"B",L85&lt;&gt;"C",L85&lt;&gt;"D"),IF(Englisch&lt;&gt;"","There is level A,B and C.   ","Dieses Jahr gibt es A-, B- und C-Klassen. Bitte korrigieren.   "),"")
&amp;
IF(AND(L85="B",OR(K85=911)),IF(Englisch&lt;&gt;"","There ist no level B in this age group. Please play in A.   ","In dieser Altersklasse keine B-Klasse. Bitte spiele in A.  "),"")&amp;
IF(AND(L85="A",OR(K85=915,K85=917,K85=919)),IF(Englisch&lt;&gt;"","There ist no level A in this age group. Please play in B.   ","In dieser Altersklasse keine A-Klasse. Bitte spiele in B.  "),"")
&amp;
IF(AND(M85&lt;&gt;"",COUNTIF('Vereine - Clubs'!$E$28:$E$47,M85)=0),IF(Englisch&lt;&gt;"","Please check club   ","Bitte den Verein überprüfen.   "),"")
&amp;
IF(AND(N85="",OR(AND(K85=11,L85="a"),AND(K85=13,L85="a"))),IFERROR(IF(VLOOKUP(M85,Vereine,4,0)="Nein","",IF(Englisch&lt;&gt;"","Please fill in turnier.de player ID   ","Bitte Spielernummer Turnier.de eintragen.   ")),""),"")
&amp;
IF(M85="","",IF(AND(VLOOKUP(M85,'Vereine - Clubs'!$E:$H,4,0)="Nein",'Teilnehmende - Starters'!S85="x"),IF(Englisch&lt;&gt;"","You can enter singles only if you pay for them.    ","EInzelteilnahme nur bei Übernahme der Bezahlung möglich.    "),""))
&amp;
IF(AND($L85="",$G85&lt;&gt;"",OR($N85&lt;&gt;"",$T85&lt;&gt;"",$W85&lt;&gt;"")),IF(Englisch&lt;&gt;"","Please add the level.     ","Bitte Spielklasse ergänzen.     "),"")</f>
        <v/>
      </c>
      <c r="AA85" s="4">
        <f t="shared" si="249"/>
        <v>0</v>
      </c>
      <c r="AB85" s="4">
        <f t="shared" si="250"/>
        <v>0</v>
      </c>
      <c r="AD85" s="89"/>
    </row>
    <row r="86" spans="1:31" ht="15" customHeight="1" x14ac:dyDescent="0.3">
      <c r="A86" s="91" t="str">
        <f t="shared" si="251"/>
        <v/>
      </c>
      <c r="B86" s="10" t="str">
        <f>IF(G86="","",MAX(B$1:B85)+1)</f>
        <v/>
      </c>
      <c r="C86" s="10" t="str">
        <f>IF(B86="","",SUMIF('Vereine - Clubs'!$E$28:$E$47,M86,'Vereine - Clubs'!$C$28:$C$47)*100+B86)</f>
        <v/>
      </c>
      <c r="D86" s="10" t="str">
        <f t="shared" si="246"/>
        <v/>
      </c>
      <c r="E86" s="10" t="str">
        <f>IF(OR($G86="",T86=""),"",IF(AND(SUMIF(T$81:T86,G86&amp;" "&amp;H86,C$81:C86)&lt;20000,OR(COUNTIF(T$81:T86,G86&amp;" "&amp;H86)&gt;0,C86&gt;20000)),"",C86))</f>
        <v/>
      </c>
      <c r="F86" s="10" t="str">
        <f>IF(OR($G86="",W86=""),"",IF(AND(SUMIF(W$81:W86,G86&amp;" "&amp;H86,C$81:C86)&lt;20000,OR(COUNTIF(W$81:W86,G86&amp;" "&amp;H86)&gt;0,C86&gt;20000)),"",C86))</f>
        <v/>
      </c>
      <c r="G86" s="66"/>
      <c r="H86" s="52"/>
      <c r="I86" s="8"/>
      <c r="J86" s="80"/>
      <c r="K86" s="53" t="str">
        <f t="shared" si="252"/>
        <v/>
      </c>
      <c r="L86" s="8"/>
      <c r="M86" s="67" t="str">
        <f>IF(G86="","",'Vereine - Clubs'!$E$28)</f>
        <v/>
      </c>
      <c r="N86" s="40"/>
      <c r="O86" s="43" t="str">
        <f t="shared" si="253"/>
        <v/>
      </c>
      <c r="P86" s="39"/>
      <c r="Q86" s="39"/>
      <c r="R86" s="40"/>
      <c r="S86" s="51" t="str">
        <f>IF(G86="","",
IF(OR(VLOOKUP(M86,'Vereine - Clubs'!E:H,4,0)="Nein",VLOOKUP(M86,'Vereine - Clubs'!E:H,4,0)="No",VLOOKUP(M86,'Vereine - Clubs'!E:H,4,0)="",VLOOKUP(M86,'Vereine - Clubs'!E:H,4,0)="nein",VLOOKUP(M86,'Vereine - Clubs'!E:H,4,0)="no",VLOOKUP(M86,'Vereine - Clubs'!E:H,4,0)=""),"","x"))</f>
        <v/>
      </c>
      <c r="T86" s="66" t="str">
        <f>IF(COUNTIF(T$81:T85,G86&amp;" "&amp;H86)=0,"",VLOOKUP(G86&amp;" "&amp;H86,$AA$5:$AC$80,3,FALSE))</f>
        <v/>
      </c>
      <c r="U86" s="53" t="str">
        <f t="shared" si="256"/>
        <v/>
      </c>
      <c r="V86" s="53" t="str">
        <f t="shared" si="254"/>
        <v/>
      </c>
      <c r="W86" s="52" t="str">
        <f>IF(COUNTIF(W$81:W85,G86&amp;" "&amp;H86)=0,"",VLOOKUP(G86&amp;" "&amp;H86,$AB$5:$AC$80,2,FALSE))</f>
        <v/>
      </c>
      <c r="X86" s="53" t="str">
        <f t="shared" si="257"/>
        <v/>
      </c>
      <c r="Y86" s="54" t="str">
        <f t="shared" si="255"/>
        <v/>
      </c>
      <c r="Z86" s="21" t="str">
        <f>IF(T86="","",IF(OR(T86="searching for partner",T86="Freimeldung",T86="x-partner"),"",IF(ISERROR(VLOOKUP(T86,$F$5:$AT$80,1,0)),IF(Englisch&lt;&gt;"","Please add double partner as participant.     ","Doppelpartner/in bitte noch als Teilnehmer eintragen.     "),IF(VLOOKUP(T86,$F$5:$R$80,4,0)=I86,"",IF(Englisch&lt;&gt;"","Wrong doubles partner     ","Falsche/r Doppelpartner/in     ")))))
&amp;IF(W86="","",IF(OR(W86="searching for partner",W86="Freimeldung",W86="x-partner"),"",IF(ISERROR(VLOOKUP(W86,$F$5:$AT$80,1,0)),IF(Englisch&lt;&gt;"","Please add mixed partner as participant     ","Mixedpartner/in bitte noch als Teilnehmer eintragen.     "),IF(VLOOKUP(W86,$F$5:$R$80,4,0)&lt;&gt;I86,"",IF(Englisch&lt;&gt;"","Wrong mixed partner.     ","Falsche/r Mixedpartner/in     ")))))
&amp;IF(AND(L86&lt;&gt;"",L86&lt;&gt;"A",L86&lt;&gt;"B",L86&lt;&gt;"C",L86&lt;&gt;"D"),IF(Englisch&lt;&gt;"","There is level A,B and C.   ","Dieses Jahr gibt es A-, B- und C-Klassen. Bitte korrigieren.   "),"")
&amp;
IF(AND(L86="B",OR(K86=911)),IF(Englisch&lt;&gt;"","There ist no level B in this age group. Please play in A.   ","In dieser Altersklasse keine B-Klasse. Bitte spiele in A.  "),"")&amp;
IF(AND(L86="A",OR(K86=915,K86=917,K86=919)),IF(Englisch&lt;&gt;"","There ist no level A in this age group. Please play in B.   ","In dieser Altersklasse keine A-Klasse. Bitte spiele in B.  "),"")
&amp;
IF(AND(M86&lt;&gt;"",COUNTIF('Vereine - Clubs'!$E$28:$E$47,M86)=0),IF(Englisch&lt;&gt;"","Please check club   ","Bitte den Verein überprüfen.   "),"")
&amp;
IF(AND(N86="",OR(AND(K86=11,L86="a"),AND(K86=13,L86="a"))),IFERROR(IF(VLOOKUP(M86,Vereine,4,0)="Nein","",IF(Englisch&lt;&gt;"","Please fill in turnier.de player ID   ","Bitte Spielernummer Turnier.de eintragen.   ")),""),"")
&amp;
IF(M86="","",IF(AND(VLOOKUP(M86,'Vereine - Clubs'!$E:$H,4,0)="Nein",'Teilnehmende - Starters'!S86="x"),IF(Englisch&lt;&gt;"","You can enter singles only if you pay for them.    ","EInzelteilnahme nur bei Übernahme der Bezahlung möglich.    "),""))
&amp;
IF(AND($L86="",$G86&lt;&gt;"",OR($N86&lt;&gt;"",$T86&lt;&gt;"",$W86&lt;&gt;"")),IF(Englisch&lt;&gt;"","Please add the level.     ","Bitte Spielklasse ergänzen.     "),"")</f>
        <v/>
      </c>
      <c r="AA86" s="4">
        <f t="shared" si="249"/>
        <v>0</v>
      </c>
      <c r="AB86" s="4">
        <f t="shared" si="250"/>
        <v>0</v>
      </c>
    </row>
    <row r="87" spans="1:31" ht="15" customHeight="1" x14ac:dyDescent="0.3">
      <c r="A87" s="91" t="str">
        <f t="shared" si="251"/>
        <v/>
      </c>
      <c r="B87" s="10" t="str">
        <f>IF(G87="","",MAX(B$1:B86)+1)</f>
        <v/>
      </c>
      <c r="C87" s="10" t="str">
        <f>IF(B87="","",SUMIF('Vereine - Clubs'!$E$28:$E$47,M87,'Vereine - Clubs'!$C$28:$C$47)*100+B87)</f>
        <v/>
      </c>
      <c r="D87" s="10" t="str">
        <f t="shared" si="246"/>
        <v/>
      </c>
      <c r="E87" s="10" t="str">
        <f>IF(OR($G87="",T87=""),"",IF(AND(SUMIF(T$81:T87,G87&amp;" "&amp;H87,C$81:C87)&lt;20000,OR(COUNTIF(T$81:T87,G87&amp;" "&amp;H87)&gt;0,C87&gt;20000)),"",C87))</f>
        <v/>
      </c>
      <c r="F87" s="10" t="str">
        <f>IF(OR($G87="",W87=""),"",IF(AND(SUMIF(W$81:W87,G87&amp;" "&amp;H87,C$81:C87)&lt;20000,OR(COUNTIF(W$81:W87,G87&amp;" "&amp;H87)&gt;0,C87&gt;20000)),"",C87))</f>
        <v/>
      </c>
      <c r="G87" s="66"/>
      <c r="H87" s="52"/>
      <c r="I87" s="8"/>
      <c r="J87" s="80"/>
      <c r="K87" s="53" t="str">
        <f t="shared" si="252"/>
        <v/>
      </c>
      <c r="L87" s="8"/>
      <c r="M87" s="67" t="str">
        <f>IF(G87="","",'Vereine - Clubs'!$E$28)</f>
        <v/>
      </c>
      <c r="N87" s="40"/>
      <c r="O87" s="43" t="str">
        <f t="shared" si="253"/>
        <v/>
      </c>
      <c r="P87" s="39"/>
      <c r="Q87" s="39"/>
      <c r="R87" s="40"/>
      <c r="S87" s="51" t="str">
        <f>IF(G87="","",
IF(OR(VLOOKUP(M87,'Vereine - Clubs'!E:H,4,0)="Nein",VLOOKUP(M87,'Vereine - Clubs'!E:H,4,0)="No",VLOOKUP(M87,'Vereine - Clubs'!E:H,4,0)="",VLOOKUP(M87,'Vereine - Clubs'!E:H,4,0)="nein",VLOOKUP(M87,'Vereine - Clubs'!E:H,4,0)="no",VLOOKUP(M87,'Vereine - Clubs'!E:H,4,0)=""),"","x"))</f>
        <v/>
      </c>
      <c r="T87" s="66" t="str">
        <f>IF(COUNTIF(T$81:T86,G87&amp;" "&amp;H87)=0,"",VLOOKUP(G87&amp;" "&amp;H87,$AA$5:$AC$80,3,FALSE))</f>
        <v/>
      </c>
      <c r="U87" s="53" t="str">
        <f t="shared" si="256"/>
        <v/>
      </c>
      <c r="V87" s="53" t="str">
        <f t="shared" si="254"/>
        <v/>
      </c>
      <c r="W87" s="52" t="str">
        <f>IF(COUNTIF(W$81:W86,G87&amp;" "&amp;H87)=0,"",VLOOKUP(G87&amp;" "&amp;H87,$AB$5:$AC$80,2,FALSE))</f>
        <v/>
      </c>
      <c r="X87" s="53" t="str">
        <f t="shared" si="257"/>
        <v/>
      </c>
      <c r="Y87" s="54" t="str">
        <f t="shared" si="255"/>
        <v/>
      </c>
      <c r="Z87" s="21" t="str">
        <f>IF(T87="","",IF(OR(T87="searching for partner",T87="Freimeldung",T87="x-partner"),"",IF(ISERROR(VLOOKUP(T87,$F$5:$AT$80,1,0)),IF(Englisch&lt;&gt;"","Please add double partner as participant.     ","Doppelpartner/in bitte noch als Teilnehmer eintragen.     "),IF(VLOOKUP(T87,$F$5:$R$80,4,0)=I87,"",IF(Englisch&lt;&gt;"","Wrong doubles partner     ","Falsche/r Doppelpartner/in     ")))))
&amp;IF(W87="","",IF(OR(W87="searching for partner",W87="Freimeldung",W87="x-partner"),"",IF(ISERROR(VLOOKUP(W87,$F$5:$AT$80,1,0)),IF(Englisch&lt;&gt;"","Please add mixed partner as participant     ","Mixedpartner/in bitte noch als Teilnehmer eintragen.     "),IF(VLOOKUP(W87,$F$5:$R$80,4,0)&lt;&gt;I87,"",IF(Englisch&lt;&gt;"","Wrong mixed partner.     ","Falsche/r Mixedpartner/in     ")))))
&amp;IF(AND(L87&lt;&gt;"",L87&lt;&gt;"A",L87&lt;&gt;"B",L87&lt;&gt;"C",L87&lt;&gt;"D"),IF(Englisch&lt;&gt;"","There is level A,B and C.   ","Dieses Jahr gibt es A-, B- und C-Klassen. Bitte korrigieren.   "),"")
&amp;
IF(AND(L87="B",OR(K87=911)),IF(Englisch&lt;&gt;"","There ist no level B in this age group. Please play in A.   ","In dieser Altersklasse keine B-Klasse. Bitte spiele in A.  "),"")&amp;
IF(AND(L87="A",OR(K87=915,K87=917,K87=919)),IF(Englisch&lt;&gt;"","There ist no level A in this age group. Please play in B.   ","In dieser Altersklasse keine A-Klasse. Bitte spiele in B.  "),"")
&amp;
IF(AND(M87&lt;&gt;"",COUNTIF('Vereine - Clubs'!$E$28:$E$47,M87)=0),IF(Englisch&lt;&gt;"","Please check club   ","Bitte den Verein überprüfen.   "),"")
&amp;
IF(AND(N87="",OR(AND(K87=11,L87="a"),AND(K87=13,L87="a"))),IFERROR(IF(VLOOKUP(M87,Vereine,4,0)="Nein","",IF(Englisch&lt;&gt;"","Please fill in turnier.de player ID   ","Bitte Spielernummer Turnier.de eintragen.   ")),""),"")
&amp;
IF(M87="","",IF(AND(VLOOKUP(M87,'Vereine - Clubs'!$E:$H,4,0)="Nein",'Teilnehmende - Starters'!S87="x"),IF(Englisch&lt;&gt;"","You can enter singles only if you pay for them.    ","EInzelteilnahme nur bei Übernahme der Bezahlung möglich.    "),""))
&amp;
IF(AND($L87="",$G87&lt;&gt;"",OR($N87&lt;&gt;"",$T87&lt;&gt;"",$W87&lt;&gt;"")),IF(Englisch&lt;&gt;"","Please add the level.     ","Bitte Spielklasse ergänzen.     "),"")</f>
        <v/>
      </c>
      <c r="AA87" s="4">
        <f t="shared" si="249"/>
        <v>0</v>
      </c>
      <c r="AB87" s="4">
        <f t="shared" si="250"/>
        <v>0</v>
      </c>
    </row>
    <row r="88" spans="1:31" ht="15" customHeight="1" x14ac:dyDescent="0.3">
      <c r="A88" s="91" t="str">
        <f t="shared" si="251"/>
        <v/>
      </c>
      <c r="B88" s="10" t="str">
        <f>IF(G88="","",MAX(B$1:B87)+1)</f>
        <v/>
      </c>
      <c r="C88" s="10" t="str">
        <f>IF(B88="","",SUMIF('Vereine - Clubs'!$E$28:$E$47,M88,'Vereine - Clubs'!$C$28:$C$47)*100+B88)</f>
        <v/>
      </c>
      <c r="D88" s="10" t="str">
        <f t="shared" si="246"/>
        <v/>
      </c>
      <c r="E88" s="10" t="str">
        <f>IF(OR($G88="",T88=""),"",IF(AND(SUMIF(T$81:T88,G88&amp;" "&amp;H88,C$81:C88)&lt;20000,OR(COUNTIF(T$81:T88,G88&amp;" "&amp;H88)&gt;0,C88&gt;20000)),"",C88))</f>
        <v/>
      </c>
      <c r="F88" s="10" t="str">
        <f>IF(OR($G88="",W88=""),"",IF(AND(SUMIF(W$81:W88,G88&amp;" "&amp;H88,C$81:C88)&lt;20000,OR(COUNTIF(W$81:W88,G88&amp;" "&amp;H88)&gt;0,C88&gt;20000)),"",C88))</f>
        <v/>
      </c>
      <c r="G88" s="66"/>
      <c r="H88" s="52"/>
      <c r="I88" s="8"/>
      <c r="J88" s="80"/>
      <c r="K88" s="53" t="str">
        <f t="shared" si="252"/>
        <v/>
      </c>
      <c r="L88" s="8"/>
      <c r="M88" s="67" t="str">
        <f>IF(G88="","",'Vereine - Clubs'!$E$28)</f>
        <v/>
      </c>
      <c r="N88" s="40"/>
      <c r="O88" s="43" t="str">
        <f t="shared" si="253"/>
        <v/>
      </c>
      <c r="P88" s="39"/>
      <c r="Q88" s="39"/>
      <c r="R88" s="40"/>
      <c r="S88" s="51" t="str">
        <f>IF(G88="","",
IF(OR(VLOOKUP(M88,'Vereine - Clubs'!E:H,4,0)="Nein",VLOOKUP(M88,'Vereine - Clubs'!E:H,4,0)="No",VLOOKUP(M88,'Vereine - Clubs'!E:H,4,0)="",VLOOKUP(M88,'Vereine - Clubs'!E:H,4,0)="nein",VLOOKUP(M88,'Vereine - Clubs'!E:H,4,0)="no",VLOOKUP(M88,'Vereine - Clubs'!E:H,4,0)=""),"","x"))</f>
        <v/>
      </c>
      <c r="T88" s="66" t="str">
        <f>IF(COUNTIF(T$81:T87,G88&amp;" "&amp;H88)=0,"",VLOOKUP(G88&amp;" "&amp;H88,$AA$5:$AC$80,3,FALSE))</f>
        <v/>
      </c>
      <c r="U88" s="53" t="str">
        <f t="shared" si="256"/>
        <v/>
      </c>
      <c r="V88" s="53" t="str">
        <f t="shared" si="254"/>
        <v/>
      </c>
      <c r="W88" s="52" t="str">
        <f>IF(COUNTIF(W$81:W87,G88&amp;" "&amp;H88)=0,"",VLOOKUP(G88&amp;" "&amp;H88,$AB$5:$AC$80,2,FALSE))</f>
        <v/>
      </c>
      <c r="X88" s="53" t="str">
        <f t="shared" si="257"/>
        <v/>
      </c>
      <c r="Y88" s="54" t="str">
        <f t="shared" si="255"/>
        <v/>
      </c>
      <c r="Z88" s="21" t="str">
        <f>IF(T88="","",IF(OR(T88="searching for partner",T88="Freimeldung",T88="x-partner"),"",IF(ISERROR(VLOOKUP(T88,$F$5:$AT$80,1,0)),IF(Englisch&lt;&gt;"","Please add double partner as participant.     ","Doppelpartner/in bitte noch als Teilnehmer eintragen.     "),IF(VLOOKUP(T88,$F$5:$R$80,4,0)=I88,"",IF(Englisch&lt;&gt;"","Wrong doubles partner     ","Falsche/r Doppelpartner/in     ")))))
&amp;IF(W88="","",IF(OR(W88="searching for partner",W88="Freimeldung",W88="x-partner"),"",IF(ISERROR(VLOOKUP(W88,$F$5:$AT$80,1,0)),IF(Englisch&lt;&gt;"","Please add mixed partner as participant     ","Mixedpartner/in bitte noch als Teilnehmer eintragen.     "),IF(VLOOKUP(W88,$F$5:$R$80,4,0)&lt;&gt;I88,"",IF(Englisch&lt;&gt;"","Wrong mixed partner.     ","Falsche/r Mixedpartner/in     ")))))
&amp;IF(AND(L88&lt;&gt;"",L88&lt;&gt;"A",L88&lt;&gt;"B",L88&lt;&gt;"C",L88&lt;&gt;"D"),IF(Englisch&lt;&gt;"","There is level A,B and C.   ","Dieses Jahr gibt es A-, B- und C-Klassen. Bitte korrigieren.   "),"")
&amp;
IF(AND(L88="B",OR(K88=911)),IF(Englisch&lt;&gt;"","There ist no level B in this age group. Please play in A.   ","In dieser Altersklasse keine B-Klasse. Bitte spiele in A.  "),"")&amp;
IF(AND(L88="A",OR(K88=915,K88=917,K88=919)),IF(Englisch&lt;&gt;"","There ist no level A in this age group. Please play in B.   ","In dieser Altersklasse keine A-Klasse. Bitte spiele in B.  "),"")
&amp;
IF(AND(M88&lt;&gt;"",COUNTIF('Vereine - Clubs'!$E$28:$E$47,M88)=0),IF(Englisch&lt;&gt;"","Please check club   ","Bitte den Verein überprüfen.   "),"")
&amp;
IF(AND(N88="",OR(AND(K88=11,L88="a"),AND(K88=13,L88="a"))),IFERROR(IF(VLOOKUP(M88,Vereine,4,0)="Nein","",IF(Englisch&lt;&gt;"","Please fill in turnier.de player ID   ","Bitte Spielernummer Turnier.de eintragen.   ")),""),"")
&amp;
IF(M88="","",IF(AND(VLOOKUP(M88,'Vereine - Clubs'!$E:$H,4,0)="Nein",'Teilnehmende - Starters'!S88="x"),IF(Englisch&lt;&gt;"","You can enter singles only if you pay for them.    ","EInzelteilnahme nur bei Übernahme der Bezahlung möglich.    "),""))
&amp;
IF(AND($L88="",$G88&lt;&gt;"",OR($N88&lt;&gt;"",$T88&lt;&gt;"",$W88&lt;&gt;"")),IF(Englisch&lt;&gt;"","Please add the level.     ","Bitte Spielklasse ergänzen.     "),"")</f>
        <v/>
      </c>
      <c r="AA88" s="4">
        <f t="shared" si="249"/>
        <v>0</v>
      </c>
      <c r="AB88" s="4">
        <f t="shared" si="250"/>
        <v>0</v>
      </c>
    </row>
    <row r="89" spans="1:31" ht="15" customHeight="1" x14ac:dyDescent="0.3">
      <c r="A89" s="91" t="str">
        <f t="shared" si="251"/>
        <v/>
      </c>
      <c r="B89" s="10" t="str">
        <f>IF(G89="","",MAX(B$1:B88)+1)</f>
        <v/>
      </c>
      <c r="C89" s="10" t="str">
        <f>IF(B89="","",SUMIF('Vereine - Clubs'!$E$28:$E$47,M89,'Vereine - Clubs'!$C$28:$C$47)*100+B89)</f>
        <v/>
      </c>
      <c r="D89" s="10" t="str">
        <f t="shared" si="246"/>
        <v/>
      </c>
      <c r="E89" s="10" t="str">
        <f>IF(OR($G89="",T89=""),"",IF(AND(SUMIF(T$81:T89,G89&amp;" "&amp;H89,C$81:C89)&lt;20000,OR(COUNTIF(T$81:T89,G89&amp;" "&amp;H89)&gt;0,C89&gt;20000)),"",C89))</f>
        <v/>
      </c>
      <c r="F89" s="10" t="str">
        <f>IF(OR($G89="",W89=""),"",IF(AND(SUMIF(W$81:W89,G89&amp;" "&amp;H89,C$81:C89)&lt;20000,OR(COUNTIF(W$81:W89,G89&amp;" "&amp;H89)&gt;0,C89&gt;20000)),"",C89))</f>
        <v/>
      </c>
      <c r="G89" s="66"/>
      <c r="H89" s="52"/>
      <c r="I89" s="8"/>
      <c r="J89" s="80"/>
      <c r="K89" s="53" t="str">
        <f t="shared" si="252"/>
        <v/>
      </c>
      <c r="L89" s="8"/>
      <c r="M89" s="67" t="str">
        <f>IF(G89="","",'Vereine - Clubs'!$E$28)</f>
        <v/>
      </c>
      <c r="N89" s="40"/>
      <c r="O89" s="43" t="str">
        <f t="shared" si="253"/>
        <v/>
      </c>
      <c r="P89" s="39"/>
      <c r="Q89" s="39"/>
      <c r="R89" s="40"/>
      <c r="S89" s="51" t="str">
        <f>IF(G89="","",
IF(OR(VLOOKUP(M89,'Vereine - Clubs'!E:H,4,0)="Nein",VLOOKUP(M89,'Vereine - Clubs'!E:H,4,0)="No",VLOOKUP(M89,'Vereine - Clubs'!E:H,4,0)="",VLOOKUP(M89,'Vereine - Clubs'!E:H,4,0)="nein",VLOOKUP(M89,'Vereine - Clubs'!E:H,4,0)="no",VLOOKUP(M89,'Vereine - Clubs'!E:H,4,0)=""),"","x"))</f>
        <v/>
      </c>
      <c r="T89" s="66" t="str">
        <f>IF(COUNTIF(T$81:T88,G89&amp;" "&amp;H89)=0,"",VLOOKUP(G89&amp;" "&amp;H89,$AA$5:$AC$80,3,FALSE))</f>
        <v/>
      </c>
      <c r="U89" s="53" t="str">
        <f t="shared" si="256"/>
        <v/>
      </c>
      <c r="V89" s="53" t="str">
        <f t="shared" si="254"/>
        <v/>
      </c>
      <c r="W89" s="52" t="str">
        <f>IF(COUNTIF(W$81:W88,G89&amp;" "&amp;H89)=0,"",VLOOKUP(G89&amp;" "&amp;H89,$AB$5:$AC$80,2,FALSE))</f>
        <v/>
      </c>
      <c r="X89" s="53" t="str">
        <f t="shared" si="257"/>
        <v/>
      </c>
      <c r="Y89" s="54" t="str">
        <f t="shared" si="255"/>
        <v/>
      </c>
      <c r="Z89" s="21" t="str">
        <f>IF(T89="","",IF(OR(T89="searching for partner",T89="Freimeldung",T89="x-partner"),"",IF(ISERROR(VLOOKUP(T89,$F$5:$AT$80,1,0)),IF(Englisch&lt;&gt;"","Please add double partner as participant.     ","Doppelpartner/in bitte noch als Teilnehmer eintragen.     "),IF(VLOOKUP(T89,$F$5:$R$80,4,0)=I89,"",IF(Englisch&lt;&gt;"","Wrong doubles partner     ","Falsche/r Doppelpartner/in     ")))))
&amp;IF(W89="","",IF(OR(W89="searching for partner",W89="Freimeldung",W89="x-partner"),"",IF(ISERROR(VLOOKUP(W89,$F$5:$AT$80,1,0)),IF(Englisch&lt;&gt;"","Please add mixed partner as participant     ","Mixedpartner/in bitte noch als Teilnehmer eintragen.     "),IF(VLOOKUP(W89,$F$5:$R$80,4,0)&lt;&gt;I89,"",IF(Englisch&lt;&gt;"","Wrong mixed partner.     ","Falsche/r Mixedpartner/in     ")))))
&amp;IF(AND(L89&lt;&gt;"",L89&lt;&gt;"A",L89&lt;&gt;"B",L89&lt;&gt;"C",L89&lt;&gt;"D"),IF(Englisch&lt;&gt;"","There is level A,B and C.   ","Dieses Jahr gibt es A-, B- und C-Klassen. Bitte korrigieren.   "),"")
&amp;
IF(AND(L89="B",OR(K89=911)),IF(Englisch&lt;&gt;"","There ist no level B in this age group. Please play in A.   ","In dieser Altersklasse keine B-Klasse. Bitte spiele in A.  "),"")&amp;
IF(AND(L89="A",OR(K89=915,K89=917,K89=919)),IF(Englisch&lt;&gt;"","There ist no level A in this age group. Please play in B.   ","In dieser Altersklasse keine A-Klasse. Bitte spiele in B.  "),"")
&amp;
IF(AND(M89&lt;&gt;"",COUNTIF('Vereine - Clubs'!$E$28:$E$47,M89)=0),IF(Englisch&lt;&gt;"","Please check club   ","Bitte den Verein überprüfen.   "),"")
&amp;
IF(AND(N89="",OR(AND(K89=11,L89="a"),AND(K89=13,L89="a"))),IFERROR(IF(VLOOKUP(M89,Vereine,4,0)="Nein","",IF(Englisch&lt;&gt;"","Please fill in turnier.de player ID   ","Bitte Spielernummer Turnier.de eintragen.   ")),""),"")
&amp;
IF(M89="","",IF(AND(VLOOKUP(M89,'Vereine - Clubs'!$E:$H,4,0)="Nein",'Teilnehmende - Starters'!S89="x"),IF(Englisch&lt;&gt;"","You can enter singles only if you pay for them.    ","EInzelteilnahme nur bei Übernahme der Bezahlung möglich.    "),""))
&amp;
IF(AND($L89="",$G89&lt;&gt;"",OR($N89&lt;&gt;"",$T89&lt;&gt;"",$W89&lt;&gt;"")),IF(Englisch&lt;&gt;"","Please add the level.     ","Bitte Spielklasse ergänzen.     "),"")</f>
        <v/>
      </c>
      <c r="AA89" s="4">
        <f t="shared" si="249"/>
        <v>0</v>
      </c>
      <c r="AB89" s="4">
        <f t="shared" si="250"/>
        <v>0</v>
      </c>
    </row>
    <row r="90" spans="1:31" ht="15" customHeight="1" x14ac:dyDescent="0.3">
      <c r="A90" s="91" t="str">
        <f t="shared" si="251"/>
        <v/>
      </c>
      <c r="B90" s="10" t="str">
        <f>IF(G90="","",MAX(B$1:B89)+1)</f>
        <v/>
      </c>
      <c r="C90" s="10" t="str">
        <f>IF(B90="","",SUMIF('Vereine - Clubs'!$E$28:$E$47,M90,'Vereine - Clubs'!$C$28:$C$47)*100+B90)</f>
        <v/>
      </c>
      <c r="D90" s="10" t="str">
        <f t="shared" si="246"/>
        <v/>
      </c>
      <c r="E90" s="10" t="str">
        <f>IF(OR($G90="",T90=""),"",IF(AND(SUMIF(T$81:T90,G90&amp;" "&amp;H90,C$81:C90)&lt;20000,OR(COUNTIF(T$81:T90,G90&amp;" "&amp;H90)&gt;0,C90&gt;20000)),"",C90))</f>
        <v/>
      </c>
      <c r="F90" s="10" t="str">
        <f>IF(OR($G90="",W90=""),"",IF(AND(SUMIF(W$81:W90,G90&amp;" "&amp;H90,C$81:C90)&lt;20000,OR(COUNTIF(W$81:W90,G90&amp;" "&amp;H90)&gt;0,C90&gt;20000)),"",C90))</f>
        <v/>
      </c>
      <c r="G90" s="66"/>
      <c r="H90" s="52"/>
      <c r="I90" s="8"/>
      <c r="J90" s="80"/>
      <c r="K90" s="53" t="str">
        <f t="shared" si="252"/>
        <v/>
      </c>
      <c r="L90" s="8"/>
      <c r="M90" s="67" t="str">
        <f>IF(G90="","",'Vereine - Clubs'!$E$28)</f>
        <v/>
      </c>
      <c r="N90" s="40"/>
      <c r="O90" s="43" t="str">
        <f t="shared" si="253"/>
        <v/>
      </c>
      <c r="P90" s="39"/>
      <c r="Q90" s="39"/>
      <c r="R90" s="40"/>
      <c r="S90" s="51" t="str">
        <f>IF(G90="","",
IF(OR(VLOOKUP(M90,'Vereine - Clubs'!E:H,4,0)="Nein",VLOOKUP(M90,'Vereine - Clubs'!E:H,4,0)="No",VLOOKUP(M90,'Vereine - Clubs'!E:H,4,0)="",VLOOKUP(M90,'Vereine - Clubs'!E:H,4,0)="nein",VLOOKUP(M90,'Vereine - Clubs'!E:H,4,0)="no",VLOOKUP(M90,'Vereine - Clubs'!E:H,4,0)=""),"","x"))</f>
        <v/>
      </c>
      <c r="T90" s="66" t="str">
        <f>IF(COUNTIF(T$81:T89,G90&amp;" "&amp;H90)=0,"",VLOOKUP(G90&amp;" "&amp;H90,$AA$5:$AC$80,3,FALSE))</f>
        <v/>
      </c>
      <c r="U90" s="53" t="str">
        <f t="shared" si="256"/>
        <v/>
      </c>
      <c r="V90" s="53" t="str">
        <f t="shared" si="254"/>
        <v/>
      </c>
      <c r="W90" s="52" t="str">
        <f>IF(COUNTIF(W$81:W89,G90&amp;" "&amp;H90)=0,"",VLOOKUP(G90&amp;" "&amp;H90,$AB$5:$AC$80,2,FALSE))</f>
        <v/>
      </c>
      <c r="X90" s="53" t="str">
        <f t="shared" si="257"/>
        <v/>
      </c>
      <c r="Y90" s="54" t="str">
        <f t="shared" si="255"/>
        <v/>
      </c>
      <c r="Z90" s="21" t="str">
        <f>IF(T90="","",IF(OR(T90="searching for partner",T90="Freimeldung",T90="x-partner"),"",IF(ISERROR(VLOOKUP(T90,$F$5:$AT$80,1,0)),IF(Englisch&lt;&gt;"","Please add double partner as participant.     ","Doppelpartner/in bitte noch als Teilnehmer eintragen.     "),IF(VLOOKUP(T90,$F$5:$R$80,4,0)=I90,"",IF(Englisch&lt;&gt;"","Wrong doubles partner     ","Falsche/r Doppelpartner/in     ")))))
&amp;IF(W90="","",IF(OR(W90="searching for partner",W90="Freimeldung",W90="x-partner"),"",IF(ISERROR(VLOOKUP(W90,$F$5:$AT$80,1,0)),IF(Englisch&lt;&gt;"","Please add mixed partner as participant     ","Mixedpartner/in bitte noch als Teilnehmer eintragen.     "),IF(VLOOKUP(W90,$F$5:$R$80,4,0)&lt;&gt;I90,"",IF(Englisch&lt;&gt;"","Wrong mixed partner.     ","Falsche/r Mixedpartner/in     ")))))
&amp;IF(AND(L90&lt;&gt;"",L90&lt;&gt;"A",L90&lt;&gt;"B",L90&lt;&gt;"C",L90&lt;&gt;"D"),IF(Englisch&lt;&gt;"","There is level A,B and C.   ","Dieses Jahr gibt es A-, B- und C-Klassen. Bitte korrigieren.   "),"")
&amp;
IF(AND(L90="B",OR(K90=911)),IF(Englisch&lt;&gt;"","There ist no level B in this age group. Please play in A.   ","In dieser Altersklasse keine B-Klasse. Bitte spiele in A.  "),"")&amp;
IF(AND(L90="A",OR(K90=915,K90=917,K90=919)),IF(Englisch&lt;&gt;"","There ist no level A in this age group. Please play in B.   ","In dieser Altersklasse keine A-Klasse. Bitte spiele in B.  "),"")
&amp;
IF(AND(M90&lt;&gt;"",COUNTIF('Vereine - Clubs'!$E$28:$E$47,M90)=0),IF(Englisch&lt;&gt;"","Please check club   ","Bitte den Verein überprüfen.   "),"")
&amp;
IF(AND(N90="",OR(AND(K90=11,L90="a"),AND(K90=13,L90="a"))),IFERROR(IF(VLOOKUP(M90,Vereine,4,0)="Nein","",IF(Englisch&lt;&gt;"","Please fill in turnier.de player ID   ","Bitte Spielernummer Turnier.de eintragen.   ")),""),"")
&amp;
IF(M90="","",IF(AND(VLOOKUP(M90,'Vereine - Clubs'!$E:$H,4,0)="Nein",'Teilnehmende - Starters'!S90="x"),IF(Englisch&lt;&gt;"","You can enter singles only if you pay for them.    ","EInzelteilnahme nur bei Übernahme der Bezahlung möglich.    "),""))
&amp;
IF(AND($L90="",$G90&lt;&gt;"",OR($N90&lt;&gt;"",$T90&lt;&gt;"",$W90&lt;&gt;"")),IF(Englisch&lt;&gt;"","Please add the level.     ","Bitte Spielklasse ergänzen.     "),"")</f>
        <v/>
      </c>
      <c r="AA90" s="4">
        <f t="shared" si="249"/>
        <v>0</v>
      </c>
      <c r="AB90" s="4">
        <f t="shared" si="250"/>
        <v>0</v>
      </c>
    </row>
    <row r="91" spans="1:31" ht="15" customHeight="1" x14ac:dyDescent="0.3">
      <c r="A91" s="91" t="str">
        <f t="shared" si="251"/>
        <v/>
      </c>
      <c r="B91" s="10" t="str">
        <f>IF(G91="","",MAX(B$1:B90)+1)</f>
        <v/>
      </c>
      <c r="C91" s="10" t="str">
        <f>IF(B91="","",SUMIF('Vereine - Clubs'!$E$28:$E$47,M91,'Vereine - Clubs'!$C$28:$C$47)*100+B91)</f>
        <v/>
      </c>
      <c r="D91" s="10" t="str">
        <f t="shared" si="246"/>
        <v/>
      </c>
      <c r="E91" s="10" t="str">
        <f>IF(OR($G91="",T91=""),"",IF(AND(SUMIF(T$81:T91,G91&amp;" "&amp;H91,C$81:C91)&lt;20000,OR(COUNTIF(T$81:T91,G91&amp;" "&amp;H91)&gt;0,C91&gt;20000)),"",C91))</f>
        <v/>
      </c>
      <c r="F91" s="10" t="str">
        <f>IF(OR($G91="",W91=""),"",IF(AND(SUMIF(W$81:W91,G91&amp;" "&amp;H91,C$81:C91)&lt;20000,OR(COUNTIF(W$81:W91,G91&amp;" "&amp;H91)&gt;0,C91&gt;20000)),"",C91))</f>
        <v/>
      </c>
      <c r="G91" s="66"/>
      <c r="H91" s="52"/>
      <c r="I91" s="8"/>
      <c r="J91" s="80"/>
      <c r="K91" s="53" t="str">
        <f t="shared" si="252"/>
        <v/>
      </c>
      <c r="L91" s="8"/>
      <c r="M91" s="67" t="str">
        <f>IF(G91="","",'Vereine - Clubs'!$E$28)</f>
        <v/>
      </c>
      <c r="N91" s="40"/>
      <c r="O91" s="43" t="str">
        <f t="shared" si="253"/>
        <v/>
      </c>
      <c r="P91" s="39"/>
      <c r="Q91" s="39"/>
      <c r="R91" s="40"/>
      <c r="S91" s="51" t="str">
        <f>IF(G91="","",
IF(OR(VLOOKUP(M91,'Vereine - Clubs'!E:H,4,0)="Nein",VLOOKUP(M91,'Vereine - Clubs'!E:H,4,0)="No",VLOOKUP(M91,'Vereine - Clubs'!E:H,4,0)="",VLOOKUP(M91,'Vereine - Clubs'!E:H,4,0)="nein",VLOOKUP(M91,'Vereine - Clubs'!E:H,4,0)="no",VLOOKUP(M91,'Vereine - Clubs'!E:H,4,0)=""),"","x"))</f>
        <v/>
      </c>
      <c r="T91" s="66" t="str">
        <f>IF(COUNTIF(T$81:T90,G91&amp;" "&amp;H91)=0,"",VLOOKUP(G91&amp;" "&amp;H91,$AA$5:$AC$80,3,FALSE))</f>
        <v/>
      </c>
      <c r="U91" s="53" t="str">
        <f t="shared" si="256"/>
        <v/>
      </c>
      <c r="V91" s="53" t="str">
        <f t="shared" si="254"/>
        <v/>
      </c>
      <c r="W91" s="52" t="str">
        <f>IF(COUNTIF(W$81:W90,G91&amp;" "&amp;H91)=0,"",VLOOKUP(G91&amp;" "&amp;H91,$AB$5:$AC$80,2,FALSE))</f>
        <v/>
      </c>
      <c r="X91" s="53" t="str">
        <f t="shared" si="257"/>
        <v/>
      </c>
      <c r="Y91" s="54" t="str">
        <f t="shared" si="255"/>
        <v/>
      </c>
      <c r="Z91" s="21" t="str">
        <f>IF(T91="","",IF(OR(T91="searching for partner",T91="Freimeldung",T91="x-partner"),"",IF(ISERROR(VLOOKUP(T91,$F$5:$AT$80,1,0)),IF(Englisch&lt;&gt;"","Please add double partner as participant.     ","Doppelpartner/in bitte noch als Teilnehmer eintragen.     "),IF(VLOOKUP(T91,$F$5:$R$80,4,0)=I91,"",IF(Englisch&lt;&gt;"","Wrong doubles partner     ","Falsche/r Doppelpartner/in     ")))))
&amp;IF(W91="","",IF(OR(W91="searching for partner",W91="Freimeldung",W91="x-partner"),"",IF(ISERROR(VLOOKUP(W91,$F$5:$AT$80,1,0)),IF(Englisch&lt;&gt;"","Please add mixed partner as participant     ","Mixedpartner/in bitte noch als Teilnehmer eintragen.     "),IF(VLOOKUP(W91,$F$5:$R$80,4,0)&lt;&gt;I91,"",IF(Englisch&lt;&gt;"","Wrong mixed partner.     ","Falsche/r Mixedpartner/in     ")))))
&amp;IF(AND(L91&lt;&gt;"",L91&lt;&gt;"A",L91&lt;&gt;"B",L91&lt;&gt;"C",L91&lt;&gt;"D"),IF(Englisch&lt;&gt;"","There is level A,B and C.   ","Dieses Jahr gibt es A-, B- und C-Klassen. Bitte korrigieren.   "),"")
&amp;
IF(AND(L91="B",OR(K91=911)),IF(Englisch&lt;&gt;"","There ist no level B in this age group. Please play in A.   ","In dieser Altersklasse keine B-Klasse. Bitte spiele in A.  "),"")&amp;
IF(AND(L91="A",OR(K91=915,K91=917,K91=919)),IF(Englisch&lt;&gt;"","There ist no level A in this age group. Please play in B.   ","In dieser Altersklasse keine A-Klasse. Bitte spiele in B.  "),"")
&amp;
IF(AND(M91&lt;&gt;"",COUNTIF('Vereine - Clubs'!$E$28:$E$47,M91)=0),IF(Englisch&lt;&gt;"","Please check club   ","Bitte den Verein überprüfen.   "),"")
&amp;
IF(AND(N91="",OR(AND(K91=11,L91="a"),AND(K91=13,L91="a"))),IFERROR(IF(VLOOKUP(M91,Vereine,4,0)="Nein","",IF(Englisch&lt;&gt;"","Please fill in turnier.de player ID   ","Bitte Spielernummer Turnier.de eintragen.   ")),""),"")
&amp;
IF(M91="","",IF(AND(VLOOKUP(M91,'Vereine - Clubs'!$E:$H,4,0)="Nein",'Teilnehmende - Starters'!S91="x"),IF(Englisch&lt;&gt;"","You can enter singles only if you pay for them.    ","EInzelteilnahme nur bei Übernahme der Bezahlung möglich.    "),""))
&amp;
IF(AND($L91="",$G91&lt;&gt;"",OR($N91&lt;&gt;"",$T91&lt;&gt;"",$W91&lt;&gt;"")),IF(Englisch&lt;&gt;"","Please add the level.     ","Bitte Spielklasse ergänzen.     "),"")</f>
        <v/>
      </c>
      <c r="AA91" s="4">
        <f t="shared" si="249"/>
        <v>0</v>
      </c>
      <c r="AB91" s="4">
        <f t="shared" si="250"/>
        <v>0</v>
      </c>
    </row>
    <row r="92" spans="1:31" ht="15" customHeight="1" x14ac:dyDescent="0.3">
      <c r="A92" s="91" t="str">
        <f t="shared" si="251"/>
        <v/>
      </c>
      <c r="B92" s="10" t="str">
        <f>IF(G92="","",MAX(B$1:B91)+1)</f>
        <v/>
      </c>
      <c r="C92" s="10" t="str">
        <f>IF(B92="","",SUMIF('Vereine - Clubs'!$E$28:$E$47,M92,'Vereine - Clubs'!$C$28:$C$47)*100+B92)</f>
        <v/>
      </c>
      <c r="D92" s="10" t="str">
        <f t="shared" si="246"/>
        <v/>
      </c>
      <c r="E92" s="10" t="str">
        <f>IF(OR($G92="",T92=""),"",IF(AND(SUMIF(T$81:T92,G92&amp;" "&amp;H92,C$81:C92)&lt;20000,OR(COUNTIF(T$81:T92,G92&amp;" "&amp;H92)&gt;0,C92&gt;20000)),"",C92))</f>
        <v/>
      </c>
      <c r="F92" s="10" t="str">
        <f>IF(OR($G92="",W92=""),"",IF(AND(SUMIF(W$81:W92,G92&amp;" "&amp;H92,C$81:C92)&lt;20000,OR(COUNTIF(W$81:W92,G92&amp;" "&amp;H92)&gt;0,C92&gt;20000)),"",C92))</f>
        <v/>
      </c>
      <c r="G92" s="66"/>
      <c r="H92" s="52"/>
      <c r="I92" s="8"/>
      <c r="J92" s="80"/>
      <c r="K92" s="53" t="str">
        <f t="shared" si="252"/>
        <v/>
      </c>
      <c r="L92" s="8"/>
      <c r="M92" s="67" t="str">
        <f>IF(G92="","",'Vereine - Clubs'!$E$28)</f>
        <v/>
      </c>
      <c r="N92" s="40"/>
      <c r="O92" s="43" t="str">
        <f t="shared" si="253"/>
        <v/>
      </c>
      <c r="P92" s="39"/>
      <c r="Q92" s="39"/>
      <c r="R92" s="40"/>
      <c r="S92" s="51" t="str">
        <f>IF(G92="","",
IF(OR(VLOOKUP(M92,'Vereine - Clubs'!E:H,4,0)="Nein",VLOOKUP(M92,'Vereine - Clubs'!E:H,4,0)="No",VLOOKUP(M92,'Vereine - Clubs'!E:H,4,0)="",VLOOKUP(M92,'Vereine - Clubs'!E:H,4,0)="nein",VLOOKUP(M92,'Vereine - Clubs'!E:H,4,0)="no",VLOOKUP(M92,'Vereine - Clubs'!E:H,4,0)=""),"","x"))</f>
        <v/>
      </c>
      <c r="T92" s="66" t="str">
        <f>IF(COUNTIF(T$81:T91,G92&amp;" "&amp;H92)=0,"",VLOOKUP(G92&amp;" "&amp;H92,$AA$5:$AC$80,3,FALSE))</f>
        <v/>
      </c>
      <c r="U92" s="53" t="str">
        <f t="shared" si="256"/>
        <v/>
      </c>
      <c r="V92" s="53" t="str">
        <f t="shared" si="254"/>
        <v/>
      </c>
      <c r="W92" s="52" t="str">
        <f>IF(COUNTIF(W$81:W91,G92&amp;" "&amp;H92)=0,"",VLOOKUP(G92&amp;" "&amp;H92,$AB$5:$AC$80,2,FALSE))</f>
        <v/>
      </c>
      <c r="X92" s="53" t="str">
        <f t="shared" si="257"/>
        <v/>
      </c>
      <c r="Y92" s="54" t="str">
        <f t="shared" si="255"/>
        <v/>
      </c>
      <c r="Z92" s="21" t="str">
        <f>IF(T92="","",IF(OR(T92="searching for partner",T92="Freimeldung",T92="x-partner"),"",IF(ISERROR(VLOOKUP(T92,$F$5:$AT$80,1,0)),IF(Englisch&lt;&gt;"","Please add double partner as participant.     ","Doppelpartner/in bitte noch als Teilnehmer eintragen.     "),IF(VLOOKUP(T92,$F$5:$R$80,4,0)=I92,"",IF(Englisch&lt;&gt;"","Wrong doubles partner     ","Falsche/r Doppelpartner/in     ")))))
&amp;IF(W92="","",IF(OR(W92="searching for partner",W92="Freimeldung",W92="x-partner"),"",IF(ISERROR(VLOOKUP(W92,$F$5:$AT$80,1,0)),IF(Englisch&lt;&gt;"","Please add mixed partner as participant     ","Mixedpartner/in bitte noch als Teilnehmer eintragen.     "),IF(VLOOKUP(W92,$F$5:$R$80,4,0)&lt;&gt;I92,"",IF(Englisch&lt;&gt;"","Wrong mixed partner.     ","Falsche/r Mixedpartner/in     ")))))
&amp;IF(AND(L92&lt;&gt;"",L92&lt;&gt;"A",L92&lt;&gt;"B",L92&lt;&gt;"C",L92&lt;&gt;"D"),IF(Englisch&lt;&gt;"","There is level A,B and C.   ","Dieses Jahr gibt es A-, B- und C-Klassen. Bitte korrigieren.   "),"")
&amp;
IF(AND(L92="B",OR(K92=911)),IF(Englisch&lt;&gt;"","There ist no level B in this age group. Please play in A.   ","In dieser Altersklasse keine B-Klasse. Bitte spiele in A.  "),"")&amp;
IF(AND(L92="A",OR(K92=915,K92=917,K92=919)),IF(Englisch&lt;&gt;"","There ist no level A in this age group. Please play in B.   ","In dieser Altersklasse keine A-Klasse. Bitte spiele in B.  "),"")
&amp;
IF(AND(M92&lt;&gt;"",COUNTIF('Vereine - Clubs'!$E$28:$E$47,M92)=0),IF(Englisch&lt;&gt;"","Please check club   ","Bitte den Verein überprüfen.   "),"")
&amp;
IF(AND(N92="",OR(AND(K92=11,L92="a"),AND(K92=13,L92="a"))),IFERROR(IF(VLOOKUP(M92,Vereine,4,0)="Nein","",IF(Englisch&lt;&gt;"","Please fill in turnier.de player ID   ","Bitte Spielernummer Turnier.de eintragen.   ")),""),"")
&amp;
IF(M92="","",IF(AND(VLOOKUP(M92,'Vereine - Clubs'!$E:$H,4,0)="Nein",'Teilnehmende - Starters'!S92="x"),IF(Englisch&lt;&gt;"","You can enter singles only if you pay for them.    ","EInzelteilnahme nur bei Übernahme der Bezahlung möglich.    "),""))
&amp;
IF(AND($L92="",$G92&lt;&gt;"",OR($N92&lt;&gt;"",$T92&lt;&gt;"",$W92&lt;&gt;"")),IF(Englisch&lt;&gt;"","Please add the level.     ","Bitte Spielklasse ergänzen.     "),"")</f>
        <v/>
      </c>
      <c r="AA92" s="4">
        <f t="shared" si="249"/>
        <v>0</v>
      </c>
      <c r="AB92" s="4">
        <f t="shared" si="250"/>
        <v>0</v>
      </c>
    </row>
    <row r="93" spans="1:31" ht="15" customHeight="1" x14ac:dyDescent="0.3">
      <c r="A93" s="91" t="str">
        <f t="shared" si="251"/>
        <v/>
      </c>
      <c r="B93" s="10" t="str">
        <f>IF(G93="","",MAX(B$1:B92)+1)</f>
        <v/>
      </c>
      <c r="C93" s="10" t="str">
        <f>IF(B93="","",SUMIF('Vereine - Clubs'!$E$28:$E$47,M93,'Vereine - Clubs'!$C$28:$C$47)*100+B93)</f>
        <v/>
      </c>
      <c r="D93" s="10" t="str">
        <f t="shared" si="246"/>
        <v/>
      </c>
      <c r="E93" s="10" t="str">
        <f>IF(OR($G93="",T93=""),"",IF(AND(SUMIF(T$81:T93,G93&amp;" "&amp;H93,C$81:C93)&lt;20000,OR(COUNTIF(T$81:T93,G93&amp;" "&amp;H93)&gt;0,C93&gt;20000)),"",C93))</f>
        <v/>
      </c>
      <c r="F93" s="10" t="str">
        <f>IF(OR($G93="",W93=""),"",IF(AND(SUMIF(W$81:W93,G93&amp;" "&amp;H93,C$81:C93)&lt;20000,OR(COUNTIF(W$81:W93,G93&amp;" "&amp;H93)&gt;0,C93&gt;20000)),"",C93))</f>
        <v/>
      </c>
      <c r="G93" s="66"/>
      <c r="H93" s="52"/>
      <c r="I93" s="8"/>
      <c r="J93" s="80"/>
      <c r="K93" s="53" t="str">
        <f t="shared" si="252"/>
        <v/>
      </c>
      <c r="L93" s="8"/>
      <c r="M93" s="67" t="str">
        <f>IF(G93="","",'Vereine - Clubs'!$E$28)</f>
        <v/>
      </c>
      <c r="N93" s="40"/>
      <c r="O93" s="43" t="str">
        <f t="shared" si="253"/>
        <v/>
      </c>
      <c r="P93" s="39"/>
      <c r="Q93" s="39"/>
      <c r="R93" s="40"/>
      <c r="S93" s="51" t="str">
        <f>IF(G93="","",
IF(OR(VLOOKUP(M93,'Vereine - Clubs'!E:H,4,0)="Nein",VLOOKUP(M93,'Vereine - Clubs'!E:H,4,0)="No",VLOOKUP(M93,'Vereine - Clubs'!E:H,4,0)="",VLOOKUP(M93,'Vereine - Clubs'!E:H,4,0)="nein",VLOOKUP(M93,'Vereine - Clubs'!E:H,4,0)="no",VLOOKUP(M93,'Vereine - Clubs'!E:H,4,0)=""),"","x"))</f>
        <v/>
      </c>
      <c r="T93" s="66" t="str">
        <f>IF(COUNTIF(T$81:T92,G93&amp;" "&amp;H93)=0,"",VLOOKUP(G93&amp;" "&amp;H93,$AA$5:$AC$80,3,FALSE))</f>
        <v/>
      </c>
      <c r="U93" s="53" t="str">
        <f t="shared" si="256"/>
        <v/>
      </c>
      <c r="V93" s="53" t="str">
        <f t="shared" si="254"/>
        <v/>
      </c>
      <c r="W93" s="52" t="str">
        <f>IF(COUNTIF(W$81:W92,G93&amp;" "&amp;H93)=0,"",VLOOKUP(G93&amp;" "&amp;H93,$AB$5:$AC$80,2,FALSE))</f>
        <v/>
      </c>
      <c r="X93" s="53" t="str">
        <f t="shared" si="257"/>
        <v/>
      </c>
      <c r="Y93" s="54" t="str">
        <f t="shared" si="255"/>
        <v/>
      </c>
      <c r="Z93" s="21" t="str">
        <f>IF(T93="","",IF(OR(T93="searching for partner",T93="Freimeldung",T93="x-partner"),"",IF(ISERROR(VLOOKUP(T93,$F$5:$AT$80,1,0)),IF(Englisch&lt;&gt;"","Please add double partner as participant.     ","Doppelpartner/in bitte noch als Teilnehmer eintragen.     "),IF(VLOOKUP(T93,$F$5:$R$80,4,0)=I93,"",IF(Englisch&lt;&gt;"","Wrong doubles partner     ","Falsche/r Doppelpartner/in     ")))))
&amp;IF(W93="","",IF(OR(W93="searching for partner",W93="Freimeldung",W93="x-partner"),"",IF(ISERROR(VLOOKUP(W93,$F$5:$AT$80,1,0)),IF(Englisch&lt;&gt;"","Please add mixed partner as participant     ","Mixedpartner/in bitte noch als Teilnehmer eintragen.     "),IF(VLOOKUP(W93,$F$5:$R$80,4,0)&lt;&gt;I93,"",IF(Englisch&lt;&gt;"","Wrong mixed partner.     ","Falsche/r Mixedpartner/in     ")))))
&amp;IF(AND(L93&lt;&gt;"",L93&lt;&gt;"A",L93&lt;&gt;"B",L93&lt;&gt;"C",L93&lt;&gt;"D"),IF(Englisch&lt;&gt;"","There is level A,B and C.   ","Dieses Jahr gibt es A-, B- und C-Klassen. Bitte korrigieren.   "),"")
&amp;
IF(AND(L93="B",OR(K93=911)),IF(Englisch&lt;&gt;"","There ist no level B in this age group. Please play in A.   ","In dieser Altersklasse keine B-Klasse. Bitte spiele in A.  "),"")&amp;
IF(AND(L93="A",OR(K93=915,K93=917,K93=919)),IF(Englisch&lt;&gt;"","There ist no level A in this age group. Please play in B.   ","In dieser Altersklasse keine A-Klasse. Bitte spiele in B.  "),"")
&amp;
IF(AND(M93&lt;&gt;"",COUNTIF('Vereine - Clubs'!$E$28:$E$47,M93)=0),IF(Englisch&lt;&gt;"","Please check club   ","Bitte den Verein überprüfen.   "),"")
&amp;
IF(AND(N93="",OR(AND(K93=11,L93="a"),AND(K93=13,L93="a"))),IFERROR(IF(VLOOKUP(M93,Vereine,4,0)="Nein","",IF(Englisch&lt;&gt;"","Please fill in turnier.de player ID   ","Bitte Spielernummer Turnier.de eintragen.   ")),""),"")
&amp;
IF(M93="","",IF(AND(VLOOKUP(M93,'Vereine - Clubs'!$E:$H,4,0)="Nein",'Teilnehmende - Starters'!S93="x"),IF(Englisch&lt;&gt;"","You can enter singles only if you pay for them.    ","EInzelteilnahme nur bei Übernahme der Bezahlung möglich.    "),""))
&amp;
IF(AND($L93="",$G93&lt;&gt;"",OR($N93&lt;&gt;"",$T93&lt;&gt;"",$W93&lt;&gt;"")),IF(Englisch&lt;&gt;"","Please add the level.     ","Bitte Spielklasse ergänzen.     "),"")</f>
        <v/>
      </c>
      <c r="AA93" s="4">
        <f t="shared" si="249"/>
        <v>0</v>
      </c>
      <c r="AB93" s="4">
        <f t="shared" si="250"/>
        <v>0</v>
      </c>
    </row>
    <row r="94" spans="1:31" ht="15" customHeight="1" x14ac:dyDescent="0.3">
      <c r="A94" s="91" t="str">
        <f t="shared" si="251"/>
        <v/>
      </c>
      <c r="B94" s="10" t="str">
        <f>IF(G94="","",MAX(B$1:B93)+1)</f>
        <v/>
      </c>
      <c r="C94" s="10" t="str">
        <f>IF(B94="","",SUMIF('Vereine - Clubs'!$E$28:$E$47,M94,'Vereine - Clubs'!$C$28:$C$47)*100+B94)</f>
        <v/>
      </c>
      <c r="D94" s="10" t="str">
        <f t="shared" si="246"/>
        <v/>
      </c>
      <c r="E94" s="10" t="str">
        <f>IF(OR($G94="",T94=""),"",IF(AND(SUMIF(T$81:T94,G94&amp;" "&amp;H94,C$81:C94)&lt;20000,OR(COUNTIF(T$81:T94,G94&amp;" "&amp;H94)&gt;0,C94&gt;20000)),"",C94))</f>
        <v/>
      </c>
      <c r="F94" s="10" t="str">
        <f>IF(OR($G94="",W94=""),"",IF(AND(SUMIF(W$81:W94,G94&amp;" "&amp;H94,C$81:C94)&lt;20000,OR(COUNTIF(W$81:W94,G94&amp;" "&amp;H94)&gt;0,C94&gt;20000)),"",C94))</f>
        <v/>
      </c>
      <c r="G94" s="66"/>
      <c r="H94" s="52"/>
      <c r="I94" s="8"/>
      <c r="J94" s="80"/>
      <c r="K94" s="53" t="str">
        <f t="shared" si="252"/>
        <v/>
      </c>
      <c r="L94" s="8"/>
      <c r="M94" s="67" t="str">
        <f>IF(G94="","",'Vereine - Clubs'!$E$28)</f>
        <v/>
      </c>
      <c r="N94" s="40"/>
      <c r="O94" s="43" t="str">
        <f t="shared" si="253"/>
        <v/>
      </c>
      <c r="P94" s="39"/>
      <c r="Q94" s="39"/>
      <c r="R94" s="40"/>
      <c r="S94" s="51" t="str">
        <f>IF(G94="","",
IF(OR(VLOOKUP(M94,'Vereine - Clubs'!E:H,4,0)="Nein",VLOOKUP(M94,'Vereine - Clubs'!E:H,4,0)="No",VLOOKUP(M94,'Vereine - Clubs'!E:H,4,0)="",VLOOKUP(M94,'Vereine - Clubs'!E:H,4,0)="nein",VLOOKUP(M94,'Vereine - Clubs'!E:H,4,0)="no",VLOOKUP(M94,'Vereine - Clubs'!E:H,4,0)=""),"","x"))</f>
        <v/>
      </c>
      <c r="T94" s="66" t="str">
        <f>IF(COUNTIF(T$81:T93,G94&amp;" "&amp;H94)=0,"",VLOOKUP(G94&amp;" "&amp;H94,$AA$5:$AC$80,3,FALSE))</f>
        <v/>
      </c>
      <c r="U94" s="53" t="str">
        <f t="shared" si="256"/>
        <v/>
      </c>
      <c r="V94" s="53" t="str">
        <f t="shared" si="254"/>
        <v/>
      </c>
      <c r="W94" s="52" t="str">
        <f>IF(COUNTIF(W$81:W93,G94&amp;" "&amp;H94)=0,"",VLOOKUP(G94&amp;" "&amp;H94,$AB$5:$AC$80,2,FALSE))</f>
        <v/>
      </c>
      <c r="X94" s="53" t="str">
        <f t="shared" si="257"/>
        <v/>
      </c>
      <c r="Y94" s="54" t="str">
        <f t="shared" si="255"/>
        <v/>
      </c>
      <c r="Z94" s="21" t="str">
        <f>IF(T94="","",IF(OR(T94="searching for partner",T94="Freimeldung",T94="x-partner"),"",IF(ISERROR(VLOOKUP(T94,$F$5:$AT$80,1,0)),IF(Englisch&lt;&gt;"","Please add double partner as participant.     ","Doppelpartner/in bitte noch als Teilnehmer eintragen.     "),IF(VLOOKUP(T94,$F$5:$R$80,4,0)=I94,"",IF(Englisch&lt;&gt;"","Wrong doubles partner     ","Falsche/r Doppelpartner/in     ")))))
&amp;IF(W94="","",IF(OR(W94="searching for partner",W94="Freimeldung",W94="x-partner"),"",IF(ISERROR(VLOOKUP(W94,$F$5:$AT$80,1,0)),IF(Englisch&lt;&gt;"","Please add mixed partner as participant     ","Mixedpartner/in bitte noch als Teilnehmer eintragen.     "),IF(VLOOKUP(W94,$F$5:$R$80,4,0)&lt;&gt;I94,"",IF(Englisch&lt;&gt;"","Wrong mixed partner.     ","Falsche/r Mixedpartner/in     ")))))
&amp;IF(AND(L94&lt;&gt;"",L94&lt;&gt;"A",L94&lt;&gt;"B",L94&lt;&gt;"C",L94&lt;&gt;"D"),IF(Englisch&lt;&gt;"","There is level A,B and C.   ","Dieses Jahr gibt es A-, B- und C-Klassen. Bitte korrigieren.   "),"")
&amp;
IF(AND(L94="B",OR(K94=911)),IF(Englisch&lt;&gt;"","There ist no level B in this age group. Please play in A.   ","In dieser Altersklasse keine B-Klasse. Bitte spiele in A.  "),"")&amp;
IF(AND(L94="A",OR(K94=915,K94=917,K94=919)),IF(Englisch&lt;&gt;"","There ist no level A in this age group. Please play in B.   ","In dieser Altersklasse keine A-Klasse. Bitte spiele in B.  "),"")
&amp;
IF(AND(M94&lt;&gt;"",COUNTIF('Vereine - Clubs'!$E$28:$E$47,M94)=0),IF(Englisch&lt;&gt;"","Please check club   ","Bitte den Verein überprüfen.   "),"")
&amp;
IF(AND(N94="",OR(AND(K94=11,L94="a"),AND(K94=13,L94="a"))),IFERROR(IF(VLOOKUP(M94,Vereine,4,0)="Nein","",IF(Englisch&lt;&gt;"","Please fill in turnier.de player ID   ","Bitte Spielernummer Turnier.de eintragen.   ")),""),"")
&amp;
IF(M94="","",IF(AND(VLOOKUP(M94,'Vereine - Clubs'!$E:$H,4,0)="Nein",'Teilnehmende - Starters'!S94="x"),IF(Englisch&lt;&gt;"","You can enter singles only if you pay for them.    ","EInzelteilnahme nur bei Übernahme der Bezahlung möglich.    "),""))
&amp;
IF(AND($L94="",$G94&lt;&gt;"",OR($N94&lt;&gt;"",$T94&lt;&gt;"",$W94&lt;&gt;"")),IF(Englisch&lt;&gt;"","Please add the level.     ","Bitte Spielklasse ergänzen.     "),"")</f>
        <v/>
      </c>
      <c r="AA94" s="4">
        <f t="shared" si="249"/>
        <v>0</v>
      </c>
      <c r="AB94" s="4">
        <f t="shared" si="250"/>
        <v>0</v>
      </c>
    </row>
    <row r="95" spans="1:31" ht="15" customHeight="1" x14ac:dyDescent="0.3">
      <c r="A95" s="91" t="str">
        <f t="shared" si="251"/>
        <v/>
      </c>
      <c r="B95" s="10" t="str">
        <f>IF(G95="","",MAX(B$1:B94)+1)</f>
        <v/>
      </c>
      <c r="C95" s="10" t="str">
        <f>IF(B95="","",SUMIF('Vereine - Clubs'!$E$28:$E$47,M95,'Vereine - Clubs'!$C$28:$C$47)*100+B95)</f>
        <v/>
      </c>
      <c r="D95" s="10" t="str">
        <f t="shared" si="246"/>
        <v/>
      </c>
      <c r="E95" s="10" t="str">
        <f>IF(OR($G95="",T95=""),"",IF(AND(SUMIF(T$81:T95,G95&amp;" "&amp;H95,C$81:C95)&lt;20000,OR(COUNTIF(T$81:T95,G95&amp;" "&amp;H95)&gt;0,C95&gt;20000)),"",C95))</f>
        <v/>
      </c>
      <c r="F95" s="10" t="str">
        <f>IF(OR($G95="",W95=""),"",IF(AND(SUMIF(W$81:W95,G95&amp;" "&amp;H95,C$81:C95)&lt;20000,OR(COUNTIF(W$81:W95,G95&amp;" "&amp;H95)&gt;0,C95&gt;20000)),"",C95))</f>
        <v/>
      </c>
      <c r="G95" s="66"/>
      <c r="H95" s="52"/>
      <c r="I95" s="8"/>
      <c r="J95" s="80"/>
      <c r="K95" s="53" t="str">
        <f t="shared" si="252"/>
        <v/>
      </c>
      <c r="L95" s="8"/>
      <c r="M95" s="67" t="str">
        <f>IF(G95="","",'Vereine - Clubs'!$E$28)</f>
        <v/>
      </c>
      <c r="N95" s="40"/>
      <c r="O95" s="43" t="str">
        <f t="shared" si="253"/>
        <v/>
      </c>
      <c r="P95" s="39"/>
      <c r="Q95" s="39"/>
      <c r="R95" s="40"/>
      <c r="S95" s="51" t="str">
        <f>IF(G95="","",
IF(OR(VLOOKUP(M95,'Vereine - Clubs'!E:H,4,0)="Nein",VLOOKUP(M95,'Vereine - Clubs'!E:H,4,0)="No",VLOOKUP(M95,'Vereine - Clubs'!E:H,4,0)="",VLOOKUP(M95,'Vereine - Clubs'!E:H,4,0)="nein",VLOOKUP(M95,'Vereine - Clubs'!E:H,4,0)="no",VLOOKUP(M95,'Vereine - Clubs'!E:H,4,0)=""),"","x"))</f>
        <v/>
      </c>
      <c r="T95" s="66" t="str">
        <f>IF(COUNTIF(T$81:T94,G95&amp;" "&amp;H95)=0,"",VLOOKUP(G95&amp;" "&amp;H95,$AA$5:$AC$80,3,FALSE))</f>
        <v/>
      </c>
      <c r="U95" s="53" t="str">
        <f t="shared" si="256"/>
        <v/>
      </c>
      <c r="V95" s="53" t="str">
        <f t="shared" si="254"/>
        <v/>
      </c>
      <c r="W95" s="52" t="str">
        <f>IF(COUNTIF(W$81:W94,G95&amp;" "&amp;H95)=0,"",VLOOKUP(G95&amp;" "&amp;H95,$AB$5:$AC$80,2,FALSE))</f>
        <v/>
      </c>
      <c r="X95" s="53" t="str">
        <f t="shared" si="257"/>
        <v/>
      </c>
      <c r="Y95" s="54" t="str">
        <f t="shared" si="255"/>
        <v/>
      </c>
      <c r="Z95" s="21" t="str">
        <f>IF(T95="","",IF(OR(T95="searching for partner",T95="Freimeldung",T95="x-partner"),"",IF(ISERROR(VLOOKUP(T95,$F$5:$AT$80,1,0)),IF(Englisch&lt;&gt;"","Please add double partner as participant.     ","Doppelpartner/in bitte noch als Teilnehmer eintragen.     "),IF(VLOOKUP(T95,$F$5:$R$80,4,0)=I95,"",IF(Englisch&lt;&gt;"","Wrong doubles partner     ","Falsche/r Doppelpartner/in     ")))))
&amp;IF(W95="","",IF(OR(W95="searching for partner",W95="Freimeldung",W95="x-partner"),"",IF(ISERROR(VLOOKUP(W95,$F$5:$AT$80,1,0)),IF(Englisch&lt;&gt;"","Please add mixed partner as participant     ","Mixedpartner/in bitte noch als Teilnehmer eintragen.     "),IF(VLOOKUP(W95,$F$5:$R$80,4,0)&lt;&gt;I95,"",IF(Englisch&lt;&gt;"","Wrong mixed partner.     ","Falsche/r Mixedpartner/in     ")))))
&amp;IF(AND(L95&lt;&gt;"",L95&lt;&gt;"A",L95&lt;&gt;"B",L95&lt;&gt;"C",L95&lt;&gt;"D"),IF(Englisch&lt;&gt;"","There is level A,B and C.   ","Dieses Jahr gibt es A-, B- und C-Klassen. Bitte korrigieren.   "),"")
&amp;
IF(AND(L95="B",OR(K95=911)),IF(Englisch&lt;&gt;"","There ist no level B in this age group. Please play in A.   ","In dieser Altersklasse keine B-Klasse. Bitte spiele in A.  "),"")&amp;
IF(AND(L95="A",OR(K95=915,K95=917,K95=919)),IF(Englisch&lt;&gt;"","There ist no level A in this age group. Please play in B.   ","In dieser Altersklasse keine A-Klasse. Bitte spiele in B.  "),"")
&amp;
IF(AND(M95&lt;&gt;"",COUNTIF('Vereine - Clubs'!$E$28:$E$47,M95)=0),IF(Englisch&lt;&gt;"","Please check club   ","Bitte den Verein überprüfen.   "),"")
&amp;
IF(AND(N95="",OR(AND(K95=11,L95="a"),AND(K95=13,L95="a"))),IFERROR(IF(VLOOKUP(M95,Vereine,4,0)="Nein","",IF(Englisch&lt;&gt;"","Please fill in turnier.de player ID   ","Bitte Spielernummer Turnier.de eintragen.   ")),""),"")
&amp;
IF(M95="","",IF(AND(VLOOKUP(M95,'Vereine - Clubs'!$E:$H,4,0)="Nein",'Teilnehmende - Starters'!S95="x"),IF(Englisch&lt;&gt;"","You can enter singles only if you pay for them.    ","EInzelteilnahme nur bei Übernahme der Bezahlung möglich.    "),""))
&amp;
IF(AND($L95="",$G95&lt;&gt;"",OR($N95&lt;&gt;"",$T95&lt;&gt;"",$W95&lt;&gt;"")),IF(Englisch&lt;&gt;"","Please add the level.     ","Bitte Spielklasse ergänzen.     "),"")</f>
        <v/>
      </c>
      <c r="AA95" s="4">
        <f t="shared" si="249"/>
        <v>0</v>
      </c>
      <c r="AB95" s="4">
        <f t="shared" si="250"/>
        <v>0</v>
      </c>
    </row>
    <row r="96" spans="1:31" ht="15" customHeight="1" x14ac:dyDescent="0.3">
      <c r="A96" s="91" t="str">
        <f t="shared" si="251"/>
        <v/>
      </c>
      <c r="B96" s="10" t="str">
        <f>IF(G96="","",MAX(B$1:B95)+1)</f>
        <v/>
      </c>
      <c r="C96" s="10" t="str">
        <f>IF(B96="","",SUMIF('Vereine - Clubs'!$E$28:$E$47,M96,'Vereine - Clubs'!$C$28:$C$47)*100+B96)</f>
        <v/>
      </c>
      <c r="D96" s="10" t="str">
        <f t="shared" si="246"/>
        <v/>
      </c>
      <c r="E96" s="10" t="str">
        <f>IF(OR($G96="",T96=""),"",IF(AND(SUMIF(T$81:T96,G96&amp;" "&amp;H96,C$81:C96)&lt;20000,OR(COUNTIF(T$81:T96,G96&amp;" "&amp;H96)&gt;0,C96&gt;20000)),"",C96))</f>
        <v/>
      </c>
      <c r="F96" s="10" t="str">
        <f>IF(OR($G96="",W96=""),"",IF(AND(SUMIF(W$81:W96,G96&amp;" "&amp;H96,C$81:C96)&lt;20000,OR(COUNTIF(W$81:W96,G96&amp;" "&amp;H96)&gt;0,C96&gt;20000)),"",C96))</f>
        <v/>
      </c>
      <c r="G96" s="66"/>
      <c r="H96" s="52"/>
      <c r="I96" s="8"/>
      <c r="J96" s="80"/>
      <c r="K96" s="53" t="str">
        <f t="shared" si="252"/>
        <v/>
      </c>
      <c r="L96" s="8"/>
      <c r="M96" s="67" t="str">
        <f>IF(G96="","",'Vereine - Clubs'!$E$28)</f>
        <v/>
      </c>
      <c r="N96" s="40"/>
      <c r="O96" s="43" t="str">
        <f t="shared" si="253"/>
        <v/>
      </c>
      <c r="P96" s="39"/>
      <c r="Q96" s="39"/>
      <c r="R96" s="40"/>
      <c r="S96" s="51" t="str">
        <f>IF(G96="","",
IF(OR(VLOOKUP(M96,'Vereine - Clubs'!E:H,4,0)="Nein",VLOOKUP(M96,'Vereine - Clubs'!E:H,4,0)="No",VLOOKUP(M96,'Vereine - Clubs'!E:H,4,0)="",VLOOKUP(M96,'Vereine - Clubs'!E:H,4,0)="nein",VLOOKUP(M96,'Vereine - Clubs'!E:H,4,0)="no",VLOOKUP(M96,'Vereine - Clubs'!E:H,4,0)=""),"","x"))</f>
        <v/>
      </c>
      <c r="T96" s="66" t="str">
        <f>IF(COUNTIF(T$81:T95,G96&amp;" "&amp;H96)=0,"",VLOOKUP(G96&amp;" "&amp;H96,$AA$5:$AC$80,3,FALSE))</f>
        <v/>
      </c>
      <c r="U96" s="53" t="str">
        <f t="shared" si="256"/>
        <v/>
      </c>
      <c r="V96" s="53" t="str">
        <f t="shared" si="254"/>
        <v/>
      </c>
      <c r="W96" s="52" t="str">
        <f>IF(COUNTIF(W$81:W95,G96&amp;" "&amp;H96)=0,"",VLOOKUP(G96&amp;" "&amp;H96,$AB$5:$AC$80,2,FALSE))</f>
        <v/>
      </c>
      <c r="X96" s="53" t="str">
        <f t="shared" si="257"/>
        <v/>
      </c>
      <c r="Y96" s="54" t="str">
        <f t="shared" si="255"/>
        <v/>
      </c>
      <c r="Z96" s="21" t="str">
        <f>IF(T96="","",IF(OR(T96="searching for partner",T96="Freimeldung",T96="x-partner"),"",IF(ISERROR(VLOOKUP(T96,$F$5:$AT$80,1,0)),IF(Englisch&lt;&gt;"","Please add double partner as participant.     ","Doppelpartner/in bitte noch als Teilnehmer eintragen.     "),IF(VLOOKUP(T96,$F$5:$R$80,4,0)=I96,"",IF(Englisch&lt;&gt;"","Wrong doubles partner     ","Falsche/r Doppelpartner/in     ")))))
&amp;IF(W96="","",IF(OR(W96="searching for partner",W96="Freimeldung",W96="x-partner"),"",IF(ISERROR(VLOOKUP(W96,$F$5:$AT$80,1,0)),IF(Englisch&lt;&gt;"","Please add mixed partner as participant     ","Mixedpartner/in bitte noch als Teilnehmer eintragen.     "),IF(VLOOKUP(W96,$F$5:$R$80,4,0)&lt;&gt;I96,"",IF(Englisch&lt;&gt;"","Wrong mixed partner.     ","Falsche/r Mixedpartner/in     ")))))
&amp;IF(AND(L96&lt;&gt;"",L96&lt;&gt;"A",L96&lt;&gt;"B",L96&lt;&gt;"C",L96&lt;&gt;"D"),IF(Englisch&lt;&gt;"","There is level A,B and C.   ","Dieses Jahr gibt es A-, B- und C-Klassen. Bitte korrigieren.   "),"")
&amp;
IF(AND(L96="B",OR(K96=911)),IF(Englisch&lt;&gt;"","There ist no level B in this age group. Please play in A.   ","In dieser Altersklasse keine B-Klasse. Bitte spiele in A.  "),"")&amp;
IF(AND(L96="A",OR(K96=915,K96=917,K96=919)),IF(Englisch&lt;&gt;"","There ist no level A in this age group. Please play in B.   ","In dieser Altersklasse keine A-Klasse. Bitte spiele in B.  "),"")
&amp;
IF(AND(M96&lt;&gt;"",COUNTIF('Vereine - Clubs'!$E$28:$E$47,M96)=0),IF(Englisch&lt;&gt;"","Please check club   ","Bitte den Verein überprüfen.   "),"")
&amp;
IF(AND(N96="",OR(AND(K96=11,L96="a"),AND(K96=13,L96="a"))),IFERROR(IF(VLOOKUP(M96,Vereine,4,0)="Nein","",IF(Englisch&lt;&gt;"","Please fill in turnier.de player ID   ","Bitte Spielernummer Turnier.de eintragen.   ")),""),"")
&amp;
IF(M96="","",IF(AND(VLOOKUP(M96,'Vereine - Clubs'!$E:$H,4,0)="Nein",'Teilnehmende - Starters'!S96="x"),IF(Englisch&lt;&gt;"","You can enter singles only if you pay for them.    ","EInzelteilnahme nur bei Übernahme der Bezahlung möglich.    "),""))
&amp;
IF(AND($L96="",$G96&lt;&gt;"",OR($N96&lt;&gt;"",$T96&lt;&gt;"",$W96&lt;&gt;"")),IF(Englisch&lt;&gt;"","Please add the level.     ","Bitte Spielklasse ergänzen.     "),"")</f>
        <v/>
      </c>
      <c r="AA96" s="4">
        <f t="shared" si="249"/>
        <v>0</v>
      </c>
      <c r="AB96" s="4">
        <f t="shared" si="250"/>
        <v>0</v>
      </c>
    </row>
    <row r="97" spans="1:28" ht="15" customHeight="1" x14ac:dyDescent="0.3">
      <c r="A97" s="91" t="str">
        <f t="shared" si="251"/>
        <v/>
      </c>
      <c r="B97" s="10" t="str">
        <f>IF(G97="","",MAX(B$1:B96)+1)</f>
        <v/>
      </c>
      <c r="C97" s="10" t="str">
        <f>IF(B97="","",SUMIF('Vereine - Clubs'!$E$28:$E$47,M97,'Vereine - Clubs'!$C$28:$C$47)*100+B97)</f>
        <v/>
      </c>
      <c r="D97" s="10" t="str">
        <f t="shared" si="246"/>
        <v/>
      </c>
      <c r="E97" s="10" t="str">
        <f>IF(OR($G97="",T97=""),"",IF(AND(SUMIF(T$81:T97,G97&amp;" "&amp;H97,C$81:C97)&lt;20000,OR(COUNTIF(T$81:T97,G97&amp;" "&amp;H97)&gt;0,C97&gt;20000)),"",C97))</f>
        <v/>
      </c>
      <c r="F97" s="10" t="str">
        <f>IF(OR($G97="",W97=""),"",IF(AND(SUMIF(W$81:W97,G97&amp;" "&amp;H97,C$81:C97)&lt;20000,OR(COUNTIF(W$81:W97,G97&amp;" "&amp;H97)&gt;0,C97&gt;20000)),"",C97))</f>
        <v/>
      </c>
      <c r="G97" s="66"/>
      <c r="H97" s="52"/>
      <c r="I97" s="8"/>
      <c r="J97" s="80"/>
      <c r="K97" s="53" t="str">
        <f t="shared" si="252"/>
        <v/>
      </c>
      <c r="L97" s="8"/>
      <c r="M97" s="67" t="str">
        <f>IF(G97="","",'Vereine - Clubs'!$E$28)</f>
        <v/>
      </c>
      <c r="N97" s="40"/>
      <c r="O97" s="43" t="str">
        <f t="shared" si="253"/>
        <v/>
      </c>
      <c r="P97" s="39"/>
      <c r="Q97" s="39"/>
      <c r="R97" s="40"/>
      <c r="S97" s="51" t="str">
        <f>IF(G97="","",
IF(OR(VLOOKUP(M97,'Vereine - Clubs'!E:H,4,0)="Nein",VLOOKUP(M97,'Vereine - Clubs'!E:H,4,0)="No",VLOOKUP(M97,'Vereine - Clubs'!E:H,4,0)="",VLOOKUP(M97,'Vereine - Clubs'!E:H,4,0)="nein",VLOOKUP(M97,'Vereine - Clubs'!E:H,4,0)="no",VLOOKUP(M97,'Vereine - Clubs'!E:H,4,0)=""),"","x"))</f>
        <v/>
      </c>
      <c r="T97" s="66" t="str">
        <f>IF(COUNTIF(T$81:T96,G97&amp;" "&amp;H97)=0,"",VLOOKUP(G97&amp;" "&amp;H97,$AA$5:$AC$80,3,FALSE))</f>
        <v/>
      </c>
      <c r="U97" s="53" t="str">
        <f t="shared" si="256"/>
        <v/>
      </c>
      <c r="V97" s="53" t="str">
        <f t="shared" si="254"/>
        <v/>
      </c>
      <c r="W97" s="52" t="str">
        <f>IF(COUNTIF(W$81:W96,G97&amp;" "&amp;H97)=0,"",VLOOKUP(G97&amp;" "&amp;H97,$AB$5:$AC$80,2,FALSE))</f>
        <v/>
      </c>
      <c r="X97" s="53" t="str">
        <f t="shared" si="257"/>
        <v/>
      </c>
      <c r="Y97" s="54" t="str">
        <f t="shared" si="255"/>
        <v/>
      </c>
      <c r="Z97" s="21" t="str">
        <f>IF(T97="","",IF(OR(T97="searching for partner",T97="Freimeldung",T97="x-partner"),"",IF(ISERROR(VLOOKUP(T97,$F$5:$AT$80,1,0)),IF(Englisch&lt;&gt;"","Please add double partner as participant.     ","Doppelpartner/in bitte noch als Teilnehmer eintragen.     "),IF(VLOOKUP(T97,$F$5:$R$80,4,0)=I97,"",IF(Englisch&lt;&gt;"","Wrong doubles partner     ","Falsche/r Doppelpartner/in     ")))))
&amp;IF(W97="","",IF(OR(W97="searching for partner",W97="Freimeldung",W97="x-partner"),"",IF(ISERROR(VLOOKUP(W97,$F$5:$AT$80,1,0)),IF(Englisch&lt;&gt;"","Please add mixed partner as participant     ","Mixedpartner/in bitte noch als Teilnehmer eintragen.     "),IF(VLOOKUP(W97,$F$5:$R$80,4,0)&lt;&gt;I97,"",IF(Englisch&lt;&gt;"","Wrong mixed partner.     ","Falsche/r Mixedpartner/in     ")))))
&amp;IF(AND(L97&lt;&gt;"",L97&lt;&gt;"A",L97&lt;&gt;"B",L97&lt;&gt;"C",L97&lt;&gt;"D"),IF(Englisch&lt;&gt;"","There is level A,B and C.   ","Dieses Jahr gibt es A-, B- und C-Klassen. Bitte korrigieren.   "),"")
&amp;
IF(AND(L97="B",OR(K97=911)),IF(Englisch&lt;&gt;"","There ist no level B in this age group. Please play in A.   ","In dieser Altersklasse keine B-Klasse. Bitte spiele in A.  "),"")&amp;
IF(AND(L97="A",OR(K97=915,K97=917,K97=919)),IF(Englisch&lt;&gt;"","There ist no level A in this age group. Please play in B.   ","In dieser Altersklasse keine A-Klasse. Bitte spiele in B.  "),"")
&amp;
IF(AND(M97&lt;&gt;"",COUNTIF('Vereine - Clubs'!$E$28:$E$47,M97)=0),IF(Englisch&lt;&gt;"","Please check club   ","Bitte den Verein überprüfen.   "),"")
&amp;
IF(AND(N97="",OR(AND(K97=11,L97="a"),AND(K97=13,L97="a"))),IFERROR(IF(VLOOKUP(M97,Vereine,4,0)="Nein","",IF(Englisch&lt;&gt;"","Please fill in turnier.de player ID   ","Bitte Spielernummer Turnier.de eintragen.   ")),""),"")
&amp;
IF(M97="","",IF(AND(VLOOKUP(M97,'Vereine - Clubs'!$E:$H,4,0)="Nein",'Teilnehmende - Starters'!S97="x"),IF(Englisch&lt;&gt;"","You can enter singles only if you pay for them.    ","EInzelteilnahme nur bei Übernahme der Bezahlung möglich.    "),""))
&amp;
IF(AND($L97="",$G97&lt;&gt;"",OR($N97&lt;&gt;"",$T97&lt;&gt;"",$W97&lt;&gt;"")),IF(Englisch&lt;&gt;"","Please add the level.     ","Bitte Spielklasse ergänzen.     "),"")</f>
        <v/>
      </c>
      <c r="AA97" s="4">
        <f t="shared" si="249"/>
        <v>0</v>
      </c>
      <c r="AB97" s="4">
        <f t="shared" si="250"/>
        <v>0</v>
      </c>
    </row>
    <row r="98" spans="1:28" ht="15" customHeight="1" x14ac:dyDescent="0.3">
      <c r="A98" s="91" t="str">
        <f t="shared" si="251"/>
        <v/>
      </c>
      <c r="B98" s="10" t="str">
        <f>IF(G98="","",MAX(B$1:B97)+1)</f>
        <v/>
      </c>
      <c r="C98" s="10" t="str">
        <f>IF(B98="","",SUMIF('Vereine - Clubs'!$E$28:$E$47,M98,'Vereine - Clubs'!$C$28:$C$47)*100+B98)</f>
        <v/>
      </c>
      <c r="D98" s="10" t="str">
        <f t="shared" si="246"/>
        <v/>
      </c>
      <c r="E98" s="10" t="str">
        <f>IF(OR($G98="",T98=""),"",IF(AND(SUMIF(T$81:T98,G98&amp;" "&amp;H98,C$81:C98)&lt;20000,OR(COUNTIF(T$81:T98,G98&amp;" "&amp;H98)&gt;0,C98&gt;20000)),"",C98))</f>
        <v/>
      </c>
      <c r="F98" s="10" t="str">
        <f>IF(OR($G98="",W98=""),"",IF(AND(SUMIF(W$81:W98,G98&amp;" "&amp;H98,C$81:C98)&lt;20000,OR(COUNTIF(W$81:W98,G98&amp;" "&amp;H98)&gt;0,C98&gt;20000)),"",C98))</f>
        <v/>
      </c>
      <c r="G98" s="66"/>
      <c r="H98" s="52"/>
      <c r="I98" s="8"/>
      <c r="J98" s="80"/>
      <c r="K98" s="53" t="str">
        <f t="shared" si="252"/>
        <v/>
      </c>
      <c r="L98" s="8"/>
      <c r="M98" s="67" t="str">
        <f>IF(G98="","",'Vereine - Clubs'!$E$28)</f>
        <v/>
      </c>
      <c r="N98" s="40"/>
      <c r="O98" s="43" t="str">
        <f t="shared" si="253"/>
        <v/>
      </c>
      <c r="P98" s="39"/>
      <c r="Q98" s="39"/>
      <c r="R98" s="40"/>
      <c r="S98" s="51" t="str">
        <f>IF(G98="","",
IF(OR(VLOOKUP(M98,'Vereine - Clubs'!E:H,4,0)="Nein",VLOOKUP(M98,'Vereine - Clubs'!E:H,4,0)="No",VLOOKUP(M98,'Vereine - Clubs'!E:H,4,0)="",VLOOKUP(M98,'Vereine - Clubs'!E:H,4,0)="nein",VLOOKUP(M98,'Vereine - Clubs'!E:H,4,0)="no",VLOOKUP(M98,'Vereine - Clubs'!E:H,4,0)=""),"","x"))</f>
        <v/>
      </c>
      <c r="T98" s="66" t="str">
        <f>IF(COUNTIF(T$81:T97,G98&amp;" "&amp;H98)=0,"",VLOOKUP(G98&amp;" "&amp;H98,$AA$5:$AC$80,3,FALSE))</f>
        <v/>
      </c>
      <c r="U98" s="53" t="str">
        <f t="shared" si="256"/>
        <v/>
      </c>
      <c r="V98" s="53" t="str">
        <f t="shared" si="254"/>
        <v/>
      </c>
      <c r="W98" s="52" t="str">
        <f>IF(COUNTIF(W$81:W97,G98&amp;" "&amp;H98)=0,"",VLOOKUP(G98&amp;" "&amp;H98,$AB$5:$AC$80,2,FALSE))</f>
        <v/>
      </c>
      <c r="X98" s="53" t="str">
        <f t="shared" si="257"/>
        <v/>
      </c>
      <c r="Y98" s="54" t="str">
        <f t="shared" si="255"/>
        <v/>
      </c>
      <c r="Z98" s="21" t="str">
        <f>IF(T98="","",IF(OR(T98="searching for partner",T98="Freimeldung",T98="x-partner"),"",IF(ISERROR(VLOOKUP(T98,$F$5:$AT$80,1,0)),IF(Englisch&lt;&gt;"","Please add double partner as participant.     ","Doppelpartner/in bitte noch als Teilnehmer eintragen.     "),IF(VLOOKUP(T98,$F$5:$R$80,4,0)=I98,"",IF(Englisch&lt;&gt;"","Wrong doubles partner     ","Falsche/r Doppelpartner/in     ")))))
&amp;IF(W98="","",IF(OR(W98="searching for partner",W98="Freimeldung",W98="x-partner"),"",IF(ISERROR(VLOOKUP(W98,$F$5:$AT$80,1,0)),IF(Englisch&lt;&gt;"","Please add mixed partner as participant     ","Mixedpartner/in bitte noch als Teilnehmer eintragen.     "),IF(VLOOKUP(W98,$F$5:$R$80,4,0)&lt;&gt;I98,"",IF(Englisch&lt;&gt;"","Wrong mixed partner.     ","Falsche/r Mixedpartner/in     ")))))
&amp;IF(AND(L98&lt;&gt;"",L98&lt;&gt;"A",L98&lt;&gt;"B",L98&lt;&gt;"C",L98&lt;&gt;"D"),IF(Englisch&lt;&gt;"","There is level A,B and C.   ","Dieses Jahr gibt es A-, B- und C-Klassen. Bitte korrigieren.   "),"")
&amp;
IF(AND(L98="B",OR(K98=911)),IF(Englisch&lt;&gt;"","There ist no level B in this age group. Please play in A.   ","In dieser Altersklasse keine B-Klasse. Bitte spiele in A.  "),"")&amp;
IF(AND(L98="A",OR(K98=915,K98=917,K98=919)),IF(Englisch&lt;&gt;"","There ist no level A in this age group. Please play in B.   ","In dieser Altersklasse keine A-Klasse. Bitte spiele in B.  "),"")
&amp;
IF(AND(M98&lt;&gt;"",COUNTIF('Vereine - Clubs'!$E$28:$E$47,M98)=0),IF(Englisch&lt;&gt;"","Please check club   ","Bitte den Verein überprüfen.   "),"")
&amp;
IF(AND(N98="",OR(AND(K98=11,L98="a"),AND(K98=13,L98="a"))),IFERROR(IF(VLOOKUP(M98,Vereine,4,0)="Nein","",IF(Englisch&lt;&gt;"","Please fill in turnier.de player ID   ","Bitte Spielernummer Turnier.de eintragen.   ")),""),"")
&amp;
IF(M98="","",IF(AND(VLOOKUP(M98,'Vereine - Clubs'!$E:$H,4,0)="Nein",'Teilnehmende - Starters'!S98="x"),IF(Englisch&lt;&gt;"","You can enter singles only if you pay for them.    ","EInzelteilnahme nur bei Übernahme der Bezahlung möglich.    "),""))
&amp;
IF(AND($L98="",$G98&lt;&gt;"",OR($N98&lt;&gt;"",$T98&lt;&gt;"",$W98&lt;&gt;"")),IF(Englisch&lt;&gt;"","Please add the level.     ","Bitte Spielklasse ergänzen.     "),"")</f>
        <v/>
      </c>
      <c r="AA98" s="4">
        <f t="shared" si="249"/>
        <v>0</v>
      </c>
      <c r="AB98" s="4">
        <f t="shared" si="250"/>
        <v>0</v>
      </c>
    </row>
    <row r="99" spans="1:28" ht="15" customHeight="1" x14ac:dyDescent="0.3">
      <c r="A99" s="91" t="str">
        <f t="shared" si="251"/>
        <v/>
      </c>
      <c r="B99" s="10" t="str">
        <f>IF(G99="","",MAX(B$1:B98)+1)</f>
        <v/>
      </c>
      <c r="C99" s="10" t="str">
        <f>IF(B99="","",SUMIF('Vereine - Clubs'!$E$28:$E$47,M99,'Vereine - Clubs'!$C$28:$C$47)*100+B99)</f>
        <v/>
      </c>
      <c r="D99" s="10" t="str">
        <f t="shared" si="246"/>
        <v/>
      </c>
      <c r="E99" s="10" t="str">
        <f>IF(OR($G99="",T99=""),"",IF(AND(SUMIF(T$81:T99,G99&amp;" "&amp;H99,C$81:C99)&lt;20000,OR(COUNTIF(T$81:T99,G99&amp;" "&amp;H99)&gt;0,C99&gt;20000)),"",C99))</f>
        <v/>
      </c>
      <c r="F99" s="10" t="str">
        <f>IF(OR($G99="",W99=""),"",IF(AND(SUMIF(W$81:W99,G99&amp;" "&amp;H99,C$81:C99)&lt;20000,OR(COUNTIF(W$81:W99,G99&amp;" "&amp;H99)&gt;0,C99&gt;20000)),"",C99))</f>
        <v/>
      </c>
      <c r="G99" s="66"/>
      <c r="H99" s="52"/>
      <c r="I99" s="8"/>
      <c r="J99" s="80"/>
      <c r="K99" s="53" t="str">
        <f t="shared" si="252"/>
        <v/>
      </c>
      <c r="L99" s="8"/>
      <c r="M99" s="67" t="str">
        <f>IF(G99="","",'Vereine - Clubs'!$E$28)</f>
        <v/>
      </c>
      <c r="N99" s="40"/>
      <c r="O99" s="43" t="str">
        <f t="shared" si="253"/>
        <v/>
      </c>
      <c r="P99" s="39"/>
      <c r="Q99" s="39"/>
      <c r="R99" s="40"/>
      <c r="S99" s="51" t="str">
        <f>IF(G99="","",
IF(OR(VLOOKUP(M99,'Vereine - Clubs'!E:H,4,0)="Nein",VLOOKUP(M99,'Vereine - Clubs'!E:H,4,0)="No",VLOOKUP(M99,'Vereine - Clubs'!E:H,4,0)="",VLOOKUP(M99,'Vereine - Clubs'!E:H,4,0)="nein",VLOOKUP(M99,'Vereine - Clubs'!E:H,4,0)="no",VLOOKUP(M99,'Vereine - Clubs'!E:H,4,0)=""),"","x"))</f>
        <v/>
      </c>
      <c r="T99" s="66" t="str">
        <f>IF(COUNTIF(T$81:T98,G99&amp;" "&amp;H99)=0,"",VLOOKUP(G99&amp;" "&amp;H99,$AA$5:$AC$80,3,FALSE))</f>
        <v/>
      </c>
      <c r="U99" s="53" t="str">
        <f t="shared" si="256"/>
        <v/>
      </c>
      <c r="V99" s="53" t="str">
        <f t="shared" si="254"/>
        <v/>
      </c>
      <c r="W99" s="52" t="str">
        <f>IF(COUNTIF(W$81:W98,G99&amp;" "&amp;H99)=0,"",VLOOKUP(G99&amp;" "&amp;H99,$AB$5:$AC$80,2,FALSE))</f>
        <v/>
      </c>
      <c r="X99" s="53" t="str">
        <f t="shared" si="257"/>
        <v/>
      </c>
      <c r="Y99" s="54" t="str">
        <f t="shared" si="255"/>
        <v/>
      </c>
      <c r="Z99" s="21" t="str">
        <f>IF(T99="","",IF(OR(T99="searching for partner",T99="Freimeldung",T99="x-partner"),"",IF(ISERROR(VLOOKUP(T99,$F$5:$AT$80,1,0)),IF(Englisch&lt;&gt;"","Please add double partner as participant.     ","Doppelpartner/in bitte noch als Teilnehmer eintragen.     "),IF(VLOOKUP(T99,$F$5:$R$80,4,0)=I99,"",IF(Englisch&lt;&gt;"","Wrong doubles partner     ","Falsche/r Doppelpartner/in     ")))))
&amp;IF(W99="","",IF(OR(W99="searching for partner",W99="Freimeldung",W99="x-partner"),"",IF(ISERROR(VLOOKUP(W99,$F$5:$AT$80,1,0)),IF(Englisch&lt;&gt;"","Please add mixed partner as participant     ","Mixedpartner/in bitte noch als Teilnehmer eintragen.     "),IF(VLOOKUP(W99,$F$5:$R$80,4,0)&lt;&gt;I99,"",IF(Englisch&lt;&gt;"","Wrong mixed partner.     ","Falsche/r Mixedpartner/in     ")))))
&amp;IF(AND(L99&lt;&gt;"",L99&lt;&gt;"A",L99&lt;&gt;"B",L99&lt;&gt;"C",L99&lt;&gt;"D"),IF(Englisch&lt;&gt;"","There is level A,B and C.   ","Dieses Jahr gibt es A-, B- und C-Klassen. Bitte korrigieren.   "),"")
&amp;
IF(AND(L99="B",OR(K99=911)),IF(Englisch&lt;&gt;"","There ist no level B in this age group. Please play in A.   ","In dieser Altersklasse keine B-Klasse. Bitte spiele in A.  "),"")&amp;
IF(AND(L99="A",OR(K99=915,K99=917,K99=919)),IF(Englisch&lt;&gt;"","There ist no level A in this age group. Please play in B.   ","In dieser Altersklasse keine A-Klasse. Bitte spiele in B.  "),"")
&amp;
IF(AND(M99&lt;&gt;"",COUNTIF('Vereine - Clubs'!$E$28:$E$47,M99)=0),IF(Englisch&lt;&gt;"","Please check club   ","Bitte den Verein überprüfen.   "),"")
&amp;
IF(AND(N99="",OR(AND(K99=11,L99="a"),AND(K99=13,L99="a"))),IFERROR(IF(VLOOKUP(M99,Vereine,4,0)="Nein","",IF(Englisch&lt;&gt;"","Please fill in turnier.de player ID   ","Bitte Spielernummer Turnier.de eintragen.   ")),""),"")
&amp;
IF(M99="","",IF(AND(VLOOKUP(M99,'Vereine - Clubs'!$E:$H,4,0)="Nein",'Teilnehmende - Starters'!S99="x"),IF(Englisch&lt;&gt;"","You can enter singles only if you pay for them.    ","EInzelteilnahme nur bei Übernahme der Bezahlung möglich.    "),""))
&amp;
IF(AND($L99="",$G99&lt;&gt;"",OR($N99&lt;&gt;"",$T99&lt;&gt;"",$W99&lt;&gt;"")),IF(Englisch&lt;&gt;"","Please add the level.     ","Bitte Spielklasse ergänzen.     "),"")</f>
        <v/>
      </c>
      <c r="AA99" s="4">
        <f t="shared" si="249"/>
        <v>0</v>
      </c>
      <c r="AB99" s="4">
        <f t="shared" si="250"/>
        <v>0</v>
      </c>
    </row>
    <row r="100" spans="1:28" ht="15" customHeight="1" x14ac:dyDescent="0.3">
      <c r="A100" s="91" t="str">
        <f t="shared" si="251"/>
        <v/>
      </c>
      <c r="B100" s="10" t="str">
        <f>IF(G100="","",MAX(B$1:B99)+1)</f>
        <v/>
      </c>
      <c r="C100" s="10" t="str">
        <f>IF(B100="","",SUMIF('Vereine - Clubs'!$E$28:$E$47,M100,'Vereine - Clubs'!$C$28:$C$47)*100+B100)</f>
        <v/>
      </c>
      <c r="D100" s="10" t="str">
        <f t="shared" si="246"/>
        <v/>
      </c>
      <c r="E100" s="10" t="str">
        <f>IF(OR($G100="",T100=""),"",IF(AND(SUMIF(T$81:T100,G100&amp;" "&amp;H100,C$81:C100)&lt;20000,OR(COUNTIF(T$81:T100,G100&amp;" "&amp;H100)&gt;0,C100&gt;20000)),"",C100))</f>
        <v/>
      </c>
      <c r="F100" s="10" t="str">
        <f>IF(OR($G100="",W100=""),"",IF(AND(SUMIF(W$81:W100,G100&amp;" "&amp;H100,C$81:C100)&lt;20000,OR(COUNTIF(W$81:W100,G100&amp;" "&amp;H100)&gt;0,C100&gt;20000)),"",C100))</f>
        <v/>
      </c>
      <c r="G100" s="66"/>
      <c r="H100" s="52"/>
      <c r="I100" s="8"/>
      <c r="J100" s="80"/>
      <c r="K100" s="53" t="str">
        <f t="shared" si="252"/>
        <v/>
      </c>
      <c r="L100" s="8"/>
      <c r="M100" s="67" t="str">
        <f>IF(G100="","",'Vereine - Clubs'!$E$28)</f>
        <v/>
      </c>
      <c r="N100" s="40"/>
      <c r="O100" s="43" t="str">
        <f t="shared" si="253"/>
        <v/>
      </c>
      <c r="P100" s="39"/>
      <c r="Q100" s="39"/>
      <c r="R100" s="40"/>
      <c r="S100" s="51" t="str">
        <f>IF(G100="","",
IF(OR(VLOOKUP(M100,'Vereine - Clubs'!E:H,4,0)="Nein",VLOOKUP(M100,'Vereine - Clubs'!E:H,4,0)="No",VLOOKUP(M100,'Vereine - Clubs'!E:H,4,0)="",VLOOKUP(M100,'Vereine - Clubs'!E:H,4,0)="nein",VLOOKUP(M100,'Vereine - Clubs'!E:H,4,0)="no",VLOOKUP(M100,'Vereine - Clubs'!E:H,4,0)=""),"","x"))</f>
        <v/>
      </c>
      <c r="T100" s="66" t="str">
        <f>IF(COUNTIF(T$81:T99,G100&amp;" "&amp;H100)=0,"",VLOOKUP(G100&amp;" "&amp;H100,$AA$5:$AC$80,3,FALSE))</f>
        <v/>
      </c>
      <c r="U100" s="53" t="str">
        <f t="shared" si="256"/>
        <v/>
      </c>
      <c r="V100" s="53" t="str">
        <f t="shared" si="254"/>
        <v/>
      </c>
      <c r="W100" s="52" t="str">
        <f>IF(COUNTIF(W$81:W99,G100&amp;" "&amp;H100)=0,"",VLOOKUP(G100&amp;" "&amp;H100,$AB$5:$AC$80,2,FALSE))</f>
        <v/>
      </c>
      <c r="X100" s="53" t="str">
        <f t="shared" si="257"/>
        <v/>
      </c>
      <c r="Y100" s="54" t="str">
        <f t="shared" si="255"/>
        <v/>
      </c>
      <c r="Z100" s="21" t="str">
        <f>IF(T100="","",IF(OR(T100="searching for partner",T100="Freimeldung",T100="x-partner"),"",IF(ISERROR(VLOOKUP(T100,$F$5:$AT$80,1,0)),IF(Englisch&lt;&gt;"","Please add double partner as participant.     ","Doppelpartner/in bitte noch als Teilnehmer eintragen.     "),IF(VLOOKUP(T100,$F$5:$R$80,4,0)=I100,"",IF(Englisch&lt;&gt;"","Wrong doubles partner     ","Falsche/r Doppelpartner/in     ")))))
&amp;IF(W100="","",IF(OR(W100="searching for partner",W100="Freimeldung",W100="x-partner"),"",IF(ISERROR(VLOOKUP(W100,$F$5:$AT$80,1,0)),IF(Englisch&lt;&gt;"","Please add mixed partner as participant     ","Mixedpartner/in bitte noch als Teilnehmer eintragen.     "),IF(VLOOKUP(W100,$F$5:$R$80,4,0)&lt;&gt;I100,"",IF(Englisch&lt;&gt;"","Wrong mixed partner.     ","Falsche/r Mixedpartner/in     ")))))
&amp;IF(AND(L100&lt;&gt;"",L100&lt;&gt;"A",L100&lt;&gt;"B",L100&lt;&gt;"C",L100&lt;&gt;"D"),IF(Englisch&lt;&gt;"","There is level A,B and C.   ","Dieses Jahr gibt es A-, B- und C-Klassen. Bitte korrigieren.   "),"")
&amp;
IF(AND(L100="B",OR(K100=911)),IF(Englisch&lt;&gt;"","There ist no level B in this age group. Please play in A.   ","In dieser Altersklasse keine B-Klasse. Bitte spiele in A.  "),"")&amp;
IF(AND(L100="A",OR(K100=915,K100=917,K100=919)),IF(Englisch&lt;&gt;"","There ist no level A in this age group. Please play in B.   ","In dieser Altersklasse keine A-Klasse. Bitte spiele in B.  "),"")
&amp;
IF(AND(M100&lt;&gt;"",COUNTIF('Vereine - Clubs'!$E$28:$E$47,M100)=0),IF(Englisch&lt;&gt;"","Please check club   ","Bitte den Verein überprüfen.   "),"")
&amp;
IF(AND(N100="",OR(AND(K100=11,L100="a"),AND(K100=13,L100="a"))),IFERROR(IF(VLOOKUP(M100,Vereine,4,0)="Nein","",IF(Englisch&lt;&gt;"","Please fill in turnier.de player ID   ","Bitte Spielernummer Turnier.de eintragen.   ")),""),"")
&amp;
IF(M100="","",IF(AND(VLOOKUP(M100,'Vereine - Clubs'!$E:$H,4,0)="Nein",'Teilnehmende - Starters'!S100="x"),IF(Englisch&lt;&gt;"","You can enter singles only if you pay for them.    ","EInzelteilnahme nur bei Übernahme der Bezahlung möglich.    "),""))
&amp;
IF(AND($L100="",$G100&lt;&gt;"",OR($N100&lt;&gt;"",$T100&lt;&gt;"",$W100&lt;&gt;"")),IF(Englisch&lt;&gt;"","Please add the level.     ","Bitte Spielklasse ergänzen.     "),"")</f>
        <v/>
      </c>
      <c r="AA100" s="4">
        <f t="shared" si="249"/>
        <v>0</v>
      </c>
      <c r="AB100" s="4">
        <f t="shared" si="250"/>
        <v>0</v>
      </c>
    </row>
    <row r="101" spans="1:28" ht="15" customHeight="1" x14ac:dyDescent="0.3">
      <c r="A101" s="91" t="str">
        <f t="shared" si="251"/>
        <v/>
      </c>
      <c r="B101" s="10" t="str">
        <f>IF(G101="","",MAX(B$1:B100)+1)</f>
        <v/>
      </c>
      <c r="C101" s="10" t="str">
        <f>IF(B101="","",SUMIF('Vereine - Clubs'!$E$28:$E$47,M101,'Vereine - Clubs'!$C$28:$C$47)*100+B101)</f>
        <v/>
      </c>
      <c r="D101" s="10" t="str">
        <f t="shared" si="246"/>
        <v/>
      </c>
      <c r="E101" s="10" t="str">
        <f>IF(OR($G101="",T101=""),"",IF(AND(SUMIF(T$81:T101,G101&amp;" "&amp;H101,C$81:C101)&lt;20000,OR(COUNTIF(T$81:T101,G101&amp;" "&amp;H101)&gt;0,C101&gt;20000)),"",C101))</f>
        <v/>
      </c>
      <c r="F101" s="10" t="str">
        <f>IF(OR($G101="",W101=""),"",IF(AND(SUMIF(W$81:W101,G101&amp;" "&amp;H101,C$81:C101)&lt;20000,OR(COUNTIF(W$81:W101,G101&amp;" "&amp;H101)&gt;0,C101&gt;20000)),"",C101))</f>
        <v/>
      </c>
      <c r="G101" s="66"/>
      <c r="H101" s="52"/>
      <c r="I101" s="8"/>
      <c r="J101" s="80"/>
      <c r="K101" s="53" t="str">
        <f t="shared" si="252"/>
        <v/>
      </c>
      <c r="L101" s="8"/>
      <c r="M101" s="67" t="str">
        <f>IF(G101="","",'Vereine - Clubs'!$E$28)</f>
        <v/>
      </c>
      <c r="N101" s="40"/>
      <c r="O101" s="43" t="str">
        <f t="shared" si="253"/>
        <v/>
      </c>
      <c r="P101" s="39"/>
      <c r="Q101" s="39"/>
      <c r="R101" s="40"/>
      <c r="S101" s="51" t="str">
        <f>IF(G101="","",
IF(OR(VLOOKUP(M101,'Vereine - Clubs'!E:H,4,0)="Nein",VLOOKUP(M101,'Vereine - Clubs'!E:H,4,0)="No",VLOOKUP(M101,'Vereine - Clubs'!E:H,4,0)="",VLOOKUP(M101,'Vereine - Clubs'!E:H,4,0)="nein",VLOOKUP(M101,'Vereine - Clubs'!E:H,4,0)="no",VLOOKUP(M101,'Vereine - Clubs'!E:H,4,0)=""),"","x"))</f>
        <v/>
      </c>
      <c r="T101" s="66" t="str">
        <f>IF(COUNTIF(T$81:T100,G101&amp;" "&amp;H101)=0,"",VLOOKUP(G101&amp;" "&amp;H101,$AA$5:$AC$80,3,FALSE))</f>
        <v/>
      </c>
      <c r="U101" s="53" t="str">
        <f t="shared" si="256"/>
        <v/>
      </c>
      <c r="V101" s="53" t="str">
        <f t="shared" si="254"/>
        <v/>
      </c>
      <c r="W101" s="52" t="str">
        <f>IF(COUNTIF(W$81:W100,G101&amp;" "&amp;H101)=0,"",VLOOKUP(G101&amp;" "&amp;H101,$AB$5:$AC$80,2,FALSE))</f>
        <v/>
      </c>
      <c r="X101" s="53" t="str">
        <f t="shared" si="257"/>
        <v/>
      </c>
      <c r="Y101" s="54" t="str">
        <f t="shared" si="255"/>
        <v/>
      </c>
      <c r="Z101" s="21" t="str">
        <f>IF(T101="","",IF(OR(T101="searching for partner",T101="Freimeldung",T101="x-partner"),"",IF(ISERROR(VLOOKUP(T101,$F$5:$AT$80,1,0)),IF(Englisch&lt;&gt;"","Please add double partner as participant.     ","Doppelpartner/in bitte noch als Teilnehmer eintragen.     "),IF(VLOOKUP(T101,$F$5:$R$80,4,0)=I101,"",IF(Englisch&lt;&gt;"","Wrong doubles partner     ","Falsche/r Doppelpartner/in     ")))))
&amp;IF(W101="","",IF(OR(W101="searching for partner",W101="Freimeldung",W101="x-partner"),"",IF(ISERROR(VLOOKUP(W101,$F$5:$AT$80,1,0)),IF(Englisch&lt;&gt;"","Please add mixed partner as participant     ","Mixedpartner/in bitte noch als Teilnehmer eintragen.     "),IF(VLOOKUP(W101,$F$5:$R$80,4,0)&lt;&gt;I101,"",IF(Englisch&lt;&gt;"","Wrong mixed partner.     ","Falsche/r Mixedpartner/in     ")))))
&amp;IF(AND(L101&lt;&gt;"",L101&lt;&gt;"A",L101&lt;&gt;"B",L101&lt;&gt;"C",L101&lt;&gt;"D"),IF(Englisch&lt;&gt;"","There is level A,B and C.   ","Dieses Jahr gibt es A-, B- und C-Klassen. Bitte korrigieren.   "),"")
&amp;
IF(AND(L101="B",OR(K101=911)),IF(Englisch&lt;&gt;"","There ist no level B in this age group. Please play in A.   ","In dieser Altersklasse keine B-Klasse. Bitte spiele in A.  "),"")&amp;
IF(AND(L101="A",OR(K101=915,K101=917,K101=919)),IF(Englisch&lt;&gt;"","There ist no level A in this age group. Please play in B.   ","In dieser Altersklasse keine A-Klasse. Bitte spiele in B.  "),"")
&amp;
IF(AND(M101&lt;&gt;"",COUNTIF('Vereine - Clubs'!$E$28:$E$47,M101)=0),IF(Englisch&lt;&gt;"","Please check club   ","Bitte den Verein überprüfen.   "),"")
&amp;
IF(AND(N101="",OR(AND(K101=11,L101="a"),AND(K101=13,L101="a"))),IFERROR(IF(VLOOKUP(M101,Vereine,4,0)="Nein","",IF(Englisch&lt;&gt;"","Please fill in turnier.de player ID   ","Bitte Spielernummer Turnier.de eintragen.   ")),""),"")
&amp;
IF(M101="","",IF(AND(VLOOKUP(M101,'Vereine - Clubs'!$E:$H,4,0)="Nein",'Teilnehmende - Starters'!S101="x"),IF(Englisch&lt;&gt;"","You can enter singles only if you pay for them.    ","EInzelteilnahme nur bei Übernahme der Bezahlung möglich.    "),""))
&amp;
IF(AND($L101="",$G101&lt;&gt;"",OR($N101&lt;&gt;"",$T101&lt;&gt;"",$W101&lt;&gt;"")),IF(Englisch&lt;&gt;"","Please add the level.     ","Bitte Spielklasse ergänzen.     "),"")</f>
        <v/>
      </c>
      <c r="AA101" s="4">
        <f t="shared" si="249"/>
        <v>0</v>
      </c>
      <c r="AB101" s="4">
        <f t="shared" si="250"/>
        <v>0</v>
      </c>
    </row>
    <row r="102" spans="1:28" ht="15" customHeight="1" x14ac:dyDescent="0.3">
      <c r="A102" s="91" t="str">
        <f t="shared" si="251"/>
        <v/>
      </c>
      <c r="B102" s="10" t="str">
        <f>IF(G102="","",MAX(B$1:B101)+1)</f>
        <v/>
      </c>
      <c r="C102" s="10" t="str">
        <f>IF(B102="","",SUMIF('Vereine - Clubs'!$E$28:$E$47,M102,'Vereine - Clubs'!$C$28:$C$47)*100+B102)</f>
        <v/>
      </c>
      <c r="D102" s="10" t="str">
        <f t="shared" si="246"/>
        <v/>
      </c>
      <c r="E102" s="10" t="str">
        <f>IF(OR($G102="",T102=""),"",IF(AND(SUMIF(T$81:T102,G102&amp;" "&amp;H102,C$81:C102)&lt;20000,OR(COUNTIF(T$81:T102,G102&amp;" "&amp;H102)&gt;0,C102&gt;20000)),"",C102))</f>
        <v/>
      </c>
      <c r="F102" s="10" t="str">
        <f>IF(OR($G102="",W102=""),"",IF(AND(SUMIF(W$81:W102,G102&amp;" "&amp;H102,C$81:C102)&lt;20000,OR(COUNTIF(W$81:W102,G102&amp;" "&amp;H102)&gt;0,C102&gt;20000)),"",C102))</f>
        <v/>
      </c>
      <c r="G102" s="66"/>
      <c r="H102" s="52"/>
      <c r="I102" s="8"/>
      <c r="J102" s="80"/>
      <c r="K102" s="53" t="str">
        <f t="shared" si="252"/>
        <v/>
      </c>
      <c r="L102" s="8"/>
      <c r="M102" s="67" t="str">
        <f>IF(G102="","",'Vereine - Clubs'!$E$28)</f>
        <v/>
      </c>
      <c r="N102" s="40"/>
      <c r="O102" s="43" t="str">
        <f t="shared" si="253"/>
        <v/>
      </c>
      <c r="P102" s="39"/>
      <c r="Q102" s="39"/>
      <c r="R102" s="40"/>
      <c r="S102" s="51" t="str">
        <f>IF(G102="","",
IF(OR(VLOOKUP(M102,'Vereine - Clubs'!E:H,4,0)="Nein",VLOOKUP(M102,'Vereine - Clubs'!E:H,4,0)="No",VLOOKUP(M102,'Vereine - Clubs'!E:H,4,0)="",VLOOKUP(M102,'Vereine - Clubs'!E:H,4,0)="nein",VLOOKUP(M102,'Vereine - Clubs'!E:H,4,0)="no",VLOOKUP(M102,'Vereine - Clubs'!E:H,4,0)=""),"","x"))</f>
        <v/>
      </c>
      <c r="T102" s="66" t="str">
        <f>IF(COUNTIF(T$81:T101,G102&amp;" "&amp;H102)=0,"",VLOOKUP(G102&amp;" "&amp;H102,$AA$5:$AC$80,3,FALSE))</f>
        <v/>
      </c>
      <c r="U102" s="53" t="str">
        <f t="shared" si="256"/>
        <v/>
      </c>
      <c r="V102" s="53" t="str">
        <f t="shared" si="254"/>
        <v/>
      </c>
      <c r="W102" s="52" t="str">
        <f>IF(COUNTIF(W$81:W101,G102&amp;" "&amp;H102)=0,"",VLOOKUP(G102&amp;" "&amp;H102,$AB$5:$AC$80,2,FALSE))</f>
        <v/>
      </c>
      <c r="X102" s="53" t="str">
        <f t="shared" si="257"/>
        <v/>
      </c>
      <c r="Y102" s="54" t="str">
        <f t="shared" si="255"/>
        <v/>
      </c>
      <c r="Z102" s="21" t="str">
        <f>IF(T102="","",IF(OR(T102="searching for partner",T102="Freimeldung",T102="x-partner"),"",IF(ISERROR(VLOOKUP(T102,$F$5:$AT$80,1,0)),IF(Englisch&lt;&gt;"","Please add double partner as participant.     ","Doppelpartner/in bitte noch als Teilnehmer eintragen.     "),IF(VLOOKUP(T102,$F$5:$R$80,4,0)=I102,"",IF(Englisch&lt;&gt;"","Wrong doubles partner     ","Falsche/r Doppelpartner/in     ")))))
&amp;IF(W102="","",IF(OR(W102="searching for partner",W102="Freimeldung",W102="x-partner"),"",IF(ISERROR(VLOOKUP(W102,$F$5:$AT$80,1,0)),IF(Englisch&lt;&gt;"","Please add mixed partner as participant     ","Mixedpartner/in bitte noch als Teilnehmer eintragen.     "),IF(VLOOKUP(W102,$F$5:$R$80,4,0)&lt;&gt;I102,"",IF(Englisch&lt;&gt;"","Wrong mixed partner.     ","Falsche/r Mixedpartner/in     ")))))
&amp;IF(AND(L102&lt;&gt;"",L102&lt;&gt;"A",L102&lt;&gt;"B",L102&lt;&gt;"C",L102&lt;&gt;"D"),IF(Englisch&lt;&gt;"","There is level A,B and C.   ","Dieses Jahr gibt es A-, B- und C-Klassen. Bitte korrigieren.   "),"")
&amp;
IF(AND(L102="B",OR(K102=911)),IF(Englisch&lt;&gt;"","There ist no level B in this age group. Please play in A.   ","In dieser Altersklasse keine B-Klasse. Bitte spiele in A.  "),"")&amp;
IF(AND(L102="A",OR(K102=915,K102=917,K102=919)),IF(Englisch&lt;&gt;"","There ist no level A in this age group. Please play in B.   ","In dieser Altersklasse keine A-Klasse. Bitte spiele in B.  "),"")
&amp;
IF(AND(M102&lt;&gt;"",COUNTIF('Vereine - Clubs'!$E$28:$E$47,M102)=0),IF(Englisch&lt;&gt;"","Please check club   ","Bitte den Verein überprüfen.   "),"")
&amp;
IF(AND(N102="",OR(AND(K102=11,L102="a"),AND(K102=13,L102="a"))),IFERROR(IF(VLOOKUP(M102,Vereine,4,0)="Nein","",IF(Englisch&lt;&gt;"","Please fill in turnier.de player ID   ","Bitte Spielernummer Turnier.de eintragen.   ")),""),"")
&amp;
IF(M102="","",IF(AND(VLOOKUP(M102,'Vereine - Clubs'!$E:$H,4,0)="Nein",'Teilnehmende - Starters'!S102="x"),IF(Englisch&lt;&gt;"","You can enter singles only if you pay for them.    ","EInzelteilnahme nur bei Übernahme der Bezahlung möglich.    "),""))
&amp;
IF(AND($L102="",$G102&lt;&gt;"",OR($N102&lt;&gt;"",$T102&lt;&gt;"",$W102&lt;&gt;"")),IF(Englisch&lt;&gt;"","Please add the level.     ","Bitte Spielklasse ergänzen.     "),"")</f>
        <v/>
      </c>
      <c r="AA102" s="4">
        <f t="shared" si="249"/>
        <v>0</v>
      </c>
      <c r="AB102" s="4">
        <f t="shared" si="250"/>
        <v>0</v>
      </c>
    </row>
    <row r="103" spans="1:28" ht="15" customHeight="1" x14ac:dyDescent="0.3">
      <c r="A103" s="91" t="str">
        <f t="shared" si="251"/>
        <v/>
      </c>
      <c r="B103" s="10" t="str">
        <f>IF(G103="","",MAX(B$1:B102)+1)</f>
        <v/>
      </c>
      <c r="C103" s="10" t="str">
        <f>IF(B103="","",SUMIF('Vereine - Clubs'!$E$28:$E$47,M103,'Vereine - Clubs'!$C$28:$C$47)*100+B103)</f>
        <v/>
      </c>
      <c r="D103" s="10" t="str">
        <f t="shared" si="246"/>
        <v/>
      </c>
      <c r="E103" s="10" t="str">
        <f>IF(OR($G103="",T103=""),"",IF(AND(SUMIF(T$81:T103,G103&amp;" "&amp;H103,C$81:C103)&lt;20000,OR(COUNTIF(T$81:T103,G103&amp;" "&amp;H103)&gt;0,C103&gt;20000)),"",C103))</f>
        <v/>
      </c>
      <c r="F103" s="10" t="str">
        <f>IF(OR($G103="",W103=""),"",IF(AND(SUMIF(W$81:W103,G103&amp;" "&amp;H103,C$81:C103)&lt;20000,OR(COUNTIF(W$81:W103,G103&amp;" "&amp;H103)&gt;0,C103&gt;20000)),"",C103))</f>
        <v/>
      </c>
      <c r="G103" s="66"/>
      <c r="H103" s="52"/>
      <c r="I103" s="8"/>
      <c r="J103" s="80"/>
      <c r="K103" s="53" t="str">
        <f t="shared" si="252"/>
        <v/>
      </c>
      <c r="L103" s="8"/>
      <c r="M103" s="67" t="str">
        <f>IF(G103="","",'Vereine - Clubs'!$E$28)</f>
        <v/>
      </c>
      <c r="N103" s="40"/>
      <c r="O103" s="43" t="str">
        <f t="shared" si="253"/>
        <v/>
      </c>
      <c r="P103" s="39"/>
      <c r="Q103" s="39"/>
      <c r="R103" s="40"/>
      <c r="S103" s="51" t="str">
        <f>IF(G103="","",
IF(OR(VLOOKUP(M103,'Vereine - Clubs'!E:H,4,0)="Nein",VLOOKUP(M103,'Vereine - Clubs'!E:H,4,0)="No",VLOOKUP(M103,'Vereine - Clubs'!E:H,4,0)="",VLOOKUP(M103,'Vereine - Clubs'!E:H,4,0)="nein",VLOOKUP(M103,'Vereine - Clubs'!E:H,4,0)="no",VLOOKUP(M103,'Vereine - Clubs'!E:H,4,0)=""),"","x"))</f>
        <v/>
      </c>
      <c r="T103" s="66" t="str">
        <f>IF(COUNTIF(T$81:T102,G103&amp;" "&amp;H103)=0,"",VLOOKUP(G103&amp;" "&amp;H103,$AA$5:$AC$80,3,FALSE))</f>
        <v/>
      </c>
      <c r="U103" s="53" t="str">
        <f t="shared" si="256"/>
        <v/>
      </c>
      <c r="V103" s="53" t="str">
        <f t="shared" si="254"/>
        <v/>
      </c>
      <c r="W103" s="52" t="str">
        <f>IF(COUNTIF(W$81:W102,G103&amp;" "&amp;H103)=0,"",VLOOKUP(G103&amp;" "&amp;H103,$AB$5:$AC$80,2,FALSE))</f>
        <v/>
      </c>
      <c r="X103" s="53" t="str">
        <f t="shared" si="257"/>
        <v/>
      </c>
      <c r="Y103" s="54" t="str">
        <f t="shared" si="255"/>
        <v/>
      </c>
      <c r="Z103" s="21" t="str">
        <f>IF(T103="","",IF(OR(T103="searching for partner",T103="Freimeldung",T103="x-partner"),"",IF(ISERROR(VLOOKUP(T103,$F$5:$AT$80,1,0)),IF(Englisch&lt;&gt;"","Please add double partner as participant.     ","Doppelpartner/in bitte noch als Teilnehmer eintragen.     "),IF(VLOOKUP(T103,$F$5:$R$80,4,0)=I103,"",IF(Englisch&lt;&gt;"","Wrong doubles partner     ","Falsche/r Doppelpartner/in     ")))))
&amp;IF(W103="","",IF(OR(W103="searching for partner",W103="Freimeldung",W103="x-partner"),"",IF(ISERROR(VLOOKUP(W103,$F$5:$AT$80,1,0)),IF(Englisch&lt;&gt;"","Please add mixed partner as participant     ","Mixedpartner/in bitte noch als Teilnehmer eintragen.     "),IF(VLOOKUP(W103,$F$5:$R$80,4,0)&lt;&gt;I103,"",IF(Englisch&lt;&gt;"","Wrong mixed partner.     ","Falsche/r Mixedpartner/in     ")))))
&amp;IF(AND(L103&lt;&gt;"",L103&lt;&gt;"A",L103&lt;&gt;"B",L103&lt;&gt;"C",L103&lt;&gt;"D"),IF(Englisch&lt;&gt;"","There is level A,B and C.   ","Dieses Jahr gibt es A-, B- und C-Klassen. Bitte korrigieren.   "),"")
&amp;
IF(AND(L103="B",OR(K103=911)),IF(Englisch&lt;&gt;"","There ist no level B in this age group. Please play in A.   ","In dieser Altersklasse keine B-Klasse. Bitte spiele in A.  "),"")&amp;
IF(AND(L103="A",OR(K103=915,K103=917,K103=919)),IF(Englisch&lt;&gt;"","There ist no level A in this age group. Please play in B.   ","In dieser Altersklasse keine A-Klasse. Bitte spiele in B.  "),"")
&amp;
IF(AND(M103&lt;&gt;"",COUNTIF('Vereine - Clubs'!$E$28:$E$47,M103)=0),IF(Englisch&lt;&gt;"","Please check club   ","Bitte den Verein überprüfen.   "),"")
&amp;
IF(AND(N103="",OR(AND(K103=11,L103="a"),AND(K103=13,L103="a"))),IFERROR(IF(VLOOKUP(M103,Vereine,4,0)="Nein","",IF(Englisch&lt;&gt;"","Please fill in turnier.de player ID   ","Bitte Spielernummer Turnier.de eintragen.   ")),""),"")
&amp;
IF(M103="","",IF(AND(VLOOKUP(M103,'Vereine - Clubs'!$E:$H,4,0)="Nein",'Teilnehmende - Starters'!S103="x"),IF(Englisch&lt;&gt;"","You can enter singles only if you pay for them.    ","EInzelteilnahme nur bei Übernahme der Bezahlung möglich.    "),""))
&amp;
IF(AND($L103="",$G103&lt;&gt;"",OR($N103&lt;&gt;"",$T103&lt;&gt;"",$W103&lt;&gt;"")),IF(Englisch&lt;&gt;"","Please add the level.     ","Bitte Spielklasse ergänzen.     "),"")</f>
        <v/>
      </c>
      <c r="AA103" s="4">
        <f t="shared" si="249"/>
        <v>0</v>
      </c>
      <c r="AB103" s="4">
        <f t="shared" si="250"/>
        <v>0</v>
      </c>
    </row>
    <row r="104" spans="1:28" ht="15" customHeight="1" x14ac:dyDescent="0.3">
      <c r="A104" s="91" t="str">
        <f t="shared" si="251"/>
        <v/>
      </c>
      <c r="B104" s="10" t="str">
        <f>IF(G104="","",MAX(B$1:B103)+1)</f>
        <v/>
      </c>
      <c r="C104" s="10" t="str">
        <f>IF(B104="","",SUMIF('Vereine - Clubs'!$E$28:$E$47,M104,'Vereine - Clubs'!$C$28:$C$47)*100+B104)</f>
        <v/>
      </c>
      <c r="D104" s="10" t="str">
        <f t="shared" si="246"/>
        <v/>
      </c>
      <c r="E104" s="10" t="str">
        <f>IF(OR($G104="",T104=""),"",IF(AND(SUMIF(T$81:T104,G104&amp;" "&amp;H104,C$81:C104)&lt;20000,OR(COUNTIF(T$81:T104,G104&amp;" "&amp;H104)&gt;0,C104&gt;20000)),"",C104))</f>
        <v/>
      </c>
      <c r="F104" s="10" t="str">
        <f>IF(OR($G104="",W104=""),"",IF(AND(SUMIF(W$81:W104,G104&amp;" "&amp;H104,C$81:C104)&lt;20000,OR(COUNTIF(W$81:W104,G104&amp;" "&amp;H104)&gt;0,C104&gt;20000)),"",C104))</f>
        <v/>
      </c>
      <c r="G104" s="66"/>
      <c r="H104" s="52"/>
      <c r="I104" s="8"/>
      <c r="J104" s="80"/>
      <c r="K104" s="53" t="str">
        <f t="shared" si="252"/>
        <v/>
      </c>
      <c r="L104" s="8"/>
      <c r="M104" s="67" t="str">
        <f>IF(G104="","",'Vereine - Clubs'!$E$28)</f>
        <v/>
      </c>
      <c r="N104" s="40"/>
      <c r="O104" s="43" t="str">
        <f t="shared" si="253"/>
        <v/>
      </c>
      <c r="P104" s="39"/>
      <c r="Q104" s="39"/>
      <c r="R104" s="40"/>
      <c r="S104" s="51" t="str">
        <f>IF(G104="","",
IF(OR(VLOOKUP(M104,'Vereine - Clubs'!E:H,4,0)="Nein",VLOOKUP(M104,'Vereine - Clubs'!E:H,4,0)="No",VLOOKUP(M104,'Vereine - Clubs'!E:H,4,0)="",VLOOKUP(M104,'Vereine - Clubs'!E:H,4,0)="nein",VLOOKUP(M104,'Vereine - Clubs'!E:H,4,0)="no",VLOOKUP(M104,'Vereine - Clubs'!E:H,4,0)=""),"","x"))</f>
        <v/>
      </c>
      <c r="T104" s="66" t="str">
        <f>IF(COUNTIF(T$81:T103,G104&amp;" "&amp;H104)=0,"",VLOOKUP(G104&amp;" "&amp;H104,$AA$5:$AC$80,3,FALSE))</f>
        <v/>
      </c>
      <c r="U104" s="53" t="str">
        <f t="shared" si="256"/>
        <v/>
      </c>
      <c r="V104" s="53" t="str">
        <f t="shared" si="254"/>
        <v/>
      </c>
      <c r="W104" s="52" t="str">
        <f>IF(COUNTIF(W$81:W103,G104&amp;" "&amp;H104)=0,"",VLOOKUP(G104&amp;" "&amp;H104,$AB$5:$AC$80,2,FALSE))</f>
        <v/>
      </c>
      <c r="X104" s="53" t="str">
        <f t="shared" si="257"/>
        <v/>
      </c>
      <c r="Y104" s="54" t="str">
        <f t="shared" si="255"/>
        <v/>
      </c>
      <c r="Z104" s="21" t="str">
        <f>IF(T104="","",IF(OR(T104="searching for partner",T104="Freimeldung",T104="x-partner"),"",IF(ISERROR(VLOOKUP(T104,$F$5:$AT$80,1,0)),IF(Englisch&lt;&gt;"","Please add double partner as participant.     ","Doppelpartner/in bitte noch als Teilnehmer eintragen.     "),IF(VLOOKUP(T104,$F$5:$R$80,4,0)=I104,"",IF(Englisch&lt;&gt;"","Wrong doubles partner     ","Falsche/r Doppelpartner/in     ")))))
&amp;IF(W104="","",IF(OR(W104="searching for partner",W104="Freimeldung",W104="x-partner"),"",IF(ISERROR(VLOOKUP(W104,$F$5:$AT$80,1,0)),IF(Englisch&lt;&gt;"","Please add mixed partner as participant     ","Mixedpartner/in bitte noch als Teilnehmer eintragen.     "),IF(VLOOKUP(W104,$F$5:$R$80,4,0)&lt;&gt;I104,"",IF(Englisch&lt;&gt;"","Wrong mixed partner.     ","Falsche/r Mixedpartner/in     ")))))
&amp;IF(AND(L104&lt;&gt;"",L104&lt;&gt;"A",L104&lt;&gt;"B",L104&lt;&gt;"C",L104&lt;&gt;"D"),IF(Englisch&lt;&gt;"","There is level A,B and C.   ","Dieses Jahr gibt es A-, B- und C-Klassen. Bitte korrigieren.   "),"")
&amp;
IF(AND(L104="B",OR(K104=911)),IF(Englisch&lt;&gt;"","There ist no level B in this age group. Please play in A.   ","In dieser Altersklasse keine B-Klasse. Bitte spiele in A.  "),"")&amp;
IF(AND(L104="A",OR(K104=915,K104=917,K104=919)),IF(Englisch&lt;&gt;"","There ist no level A in this age group. Please play in B.   ","In dieser Altersklasse keine A-Klasse. Bitte spiele in B.  "),"")
&amp;
IF(AND(M104&lt;&gt;"",COUNTIF('Vereine - Clubs'!$E$28:$E$47,M104)=0),IF(Englisch&lt;&gt;"","Please check club   ","Bitte den Verein überprüfen.   "),"")
&amp;
IF(AND(N104="",OR(AND(K104=11,L104="a"),AND(K104=13,L104="a"))),IFERROR(IF(VLOOKUP(M104,Vereine,4,0)="Nein","",IF(Englisch&lt;&gt;"","Please fill in turnier.de player ID   ","Bitte Spielernummer Turnier.de eintragen.   ")),""),"")
&amp;
IF(M104="","",IF(AND(VLOOKUP(M104,'Vereine - Clubs'!$E:$H,4,0)="Nein",'Teilnehmende - Starters'!S104="x"),IF(Englisch&lt;&gt;"","You can enter singles only if you pay for them.    ","EInzelteilnahme nur bei Übernahme der Bezahlung möglich.    "),""))
&amp;
IF(AND($L104="",$G104&lt;&gt;"",OR($N104&lt;&gt;"",$T104&lt;&gt;"",$W104&lt;&gt;"")),IF(Englisch&lt;&gt;"","Please add the level.     ","Bitte Spielklasse ergänzen.     "),"")</f>
        <v/>
      </c>
      <c r="AA104" s="4">
        <f t="shared" si="249"/>
        <v>0</v>
      </c>
      <c r="AB104" s="4">
        <f t="shared" si="250"/>
        <v>0</v>
      </c>
    </row>
    <row r="105" spans="1:28" ht="15" customHeight="1" x14ac:dyDescent="0.3">
      <c r="A105" s="91" t="str">
        <f t="shared" si="251"/>
        <v/>
      </c>
      <c r="B105" s="10" t="str">
        <f>IF(G105="","",MAX(B$1:B104)+1)</f>
        <v/>
      </c>
      <c r="C105" s="10" t="str">
        <f>IF(B105="","",SUMIF('Vereine - Clubs'!$E$28:$E$47,M105,'Vereine - Clubs'!$C$28:$C$47)*100+B105)</f>
        <v/>
      </c>
      <c r="D105" s="10" t="str">
        <f t="shared" si="246"/>
        <v/>
      </c>
      <c r="E105" s="10" t="str">
        <f>IF(OR($G105="",T105=""),"",IF(AND(SUMIF(T$81:T105,G105&amp;" "&amp;H105,C$81:C105)&lt;20000,OR(COUNTIF(T$81:T105,G105&amp;" "&amp;H105)&gt;0,C105&gt;20000)),"",C105))</f>
        <v/>
      </c>
      <c r="F105" s="10" t="str">
        <f>IF(OR($G105="",W105=""),"",IF(AND(SUMIF(W$81:W105,G105&amp;" "&amp;H105,C$81:C105)&lt;20000,OR(COUNTIF(W$81:W105,G105&amp;" "&amp;H105)&gt;0,C105&gt;20000)),"",C105))</f>
        <v/>
      </c>
      <c r="G105" s="66"/>
      <c r="H105" s="52"/>
      <c r="I105" s="8"/>
      <c r="J105" s="80"/>
      <c r="K105" s="53" t="str">
        <f t="shared" si="252"/>
        <v/>
      </c>
      <c r="L105" s="8"/>
      <c r="M105" s="67" t="str">
        <f>IF(G105="","",'Vereine - Clubs'!$E$28)</f>
        <v/>
      </c>
      <c r="N105" s="40"/>
      <c r="O105" s="43" t="str">
        <f t="shared" si="253"/>
        <v/>
      </c>
      <c r="P105" s="39"/>
      <c r="Q105" s="39"/>
      <c r="R105" s="40"/>
      <c r="S105" s="51" t="str">
        <f>IF(G105="","",
IF(OR(VLOOKUP(M105,'Vereine - Clubs'!E:H,4,0)="Nein",VLOOKUP(M105,'Vereine - Clubs'!E:H,4,0)="No",VLOOKUP(M105,'Vereine - Clubs'!E:H,4,0)="",VLOOKUP(M105,'Vereine - Clubs'!E:H,4,0)="nein",VLOOKUP(M105,'Vereine - Clubs'!E:H,4,0)="no",VLOOKUP(M105,'Vereine - Clubs'!E:H,4,0)=""),"","x"))</f>
        <v/>
      </c>
      <c r="T105" s="66" t="str">
        <f>IF(COUNTIF(T$81:T104,G105&amp;" "&amp;H105)=0,"",VLOOKUP(G105&amp;" "&amp;H105,$AA$5:$AC$80,3,FALSE))</f>
        <v/>
      </c>
      <c r="U105" s="53" t="str">
        <f t="shared" si="256"/>
        <v/>
      </c>
      <c r="V105" s="53" t="str">
        <f t="shared" si="254"/>
        <v/>
      </c>
      <c r="W105" s="52" t="str">
        <f>IF(COUNTIF(W$81:W104,G105&amp;" "&amp;H105)=0,"",VLOOKUP(G105&amp;" "&amp;H105,$AB$5:$AC$80,2,FALSE))</f>
        <v/>
      </c>
      <c r="X105" s="53" t="str">
        <f t="shared" si="257"/>
        <v/>
      </c>
      <c r="Y105" s="54" t="str">
        <f t="shared" si="255"/>
        <v/>
      </c>
      <c r="Z105" s="21" t="str">
        <f>IF(T105="","",IF(OR(T105="searching for partner",T105="Freimeldung",T105="x-partner"),"",IF(ISERROR(VLOOKUP(T105,$F$5:$AT$80,1,0)),IF(Englisch&lt;&gt;"","Please add double partner as participant.     ","Doppelpartner/in bitte noch als Teilnehmer eintragen.     "),IF(VLOOKUP(T105,$F$5:$R$80,4,0)=I105,"",IF(Englisch&lt;&gt;"","Wrong doubles partner     ","Falsche/r Doppelpartner/in     ")))))
&amp;IF(W105="","",IF(OR(W105="searching for partner",W105="Freimeldung",W105="x-partner"),"",IF(ISERROR(VLOOKUP(W105,$F$5:$AT$80,1,0)),IF(Englisch&lt;&gt;"","Please add mixed partner as participant     ","Mixedpartner/in bitte noch als Teilnehmer eintragen.     "),IF(VLOOKUP(W105,$F$5:$R$80,4,0)&lt;&gt;I105,"",IF(Englisch&lt;&gt;"","Wrong mixed partner.     ","Falsche/r Mixedpartner/in     ")))))
&amp;IF(AND(L105&lt;&gt;"",L105&lt;&gt;"A",L105&lt;&gt;"B",L105&lt;&gt;"C",L105&lt;&gt;"D"),IF(Englisch&lt;&gt;"","There is level A,B and C.   ","Dieses Jahr gibt es A-, B- und C-Klassen. Bitte korrigieren.   "),"")
&amp;
IF(AND(L105="B",OR(K105=911)),IF(Englisch&lt;&gt;"","There ist no level B in this age group. Please play in A.   ","In dieser Altersklasse keine B-Klasse. Bitte spiele in A.  "),"")&amp;
IF(AND(L105="A",OR(K105=915,K105=917,K105=919)),IF(Englisch&lt;&gt;"","There ist no level A in this age group. Please play in B.   ","In dieser Altersklasse keine A-Klasse. Bitte spiele in B.  "),"")
&amp;
IF(AND(M105&lt;&gt;"",COUNTIF('Vereine - Clubs'!$E$28:$E$47,M105)=0),IF(Englisch&lt;&gt;"","Please check club   ","Bitte den Verein überprüfen.   "),"")
&amp;
IF(AND(N105="",OR(AND(K105=11,L105="a"),AND(K105=13,L105="a"))),IFERROR(IF(VLOOKUP(M105,Vereine,4,0)="Nein","",IF(Englisch&lt;&gt;"","Please fill in turnier.de player ID   ","Bitte Spielernummer Turnier.de eintragen.   ")),""),"")
&amp;
IF(M105="","",IF(AND(VLOOKUP(M105,'Vereine - Clubs'!$E:$H,4,0)="Nein",'Teilnehmende - Starters'!S105="x"),IF(Englisch&lt;&gt;"","You can enter singles only if you pay for them.    ","EInzelteilnahme nur bei Übernahme der Bezahlung möglich.    "),""))
&amp;
IF(AND($L105="",$G105&lt;&gt;"",OR($N105&lt;&gt;"",$T105&lt;&gt;"",$W105&lt;&gt;"")),IF(Englisch&lt;&gt;"","Please add the level.     ","Bitte Spielklasse ergänzen.     "),"")</f>
        <v/>
      </c>
      <c r="AA105" s="4">
        <f t="shared" si="249"/>
        <v>0</v>
      </c>
      <c r="AB105" s="4">
        <f t="shared" si="250"/>
        <v>0</v>
      </c>
    </row>
    <row r="106" spans="1:28" ht="15" customHeight="1" x14ac:dyDescent="0.3">
      <c r="A106" s="91" t="str">
        <f t="shared" si="251"/>
        <v/>
      </c>
      <c r="B106" s="10" t="str">
        <f>IF(G106="","",MAX(B$1:B105)+1)</f>
        <v/>
      </c>
      <c r="C106" s="10" t="str">
        <f>IF(B106="","",SUMIF('Vereine - Clubs'!$E$28:$E$47,M106,'Vereine - Clubs'!$C$28:$C$47)*100+B106)</f>
        <v/>
      </c>
      <c r="D106" s="10" t="str">
        <f t="shared" si="246"/>
        <v/>
      </c>
      <c r="E106" s="10" t="str">
        <f>IF(OR($G106="",T106=""),"",IF(AND(SUMIF(T$81:T106,G106&amp;" "&amp;H106,C$81:C106)&lt;20000,OR(COUNTIF(T$81:T106,G106&amp;" "&amp;H106)&gt;0,C106&gt;20000)),"",C106))</f>
        <v/>
      </c>
      <c r="F106" s="10" t="str">
        <f>IF(OR($G106="",W106=""),"",IF(AND(SUMIF(W$81:W106,G106&amp;" "&amp;H106,C$81:C106)&lt;20000,OR(COUNTIF(W$81:W106,G106&amp;" "&amp;H106)&gt;0,C106&gt;20000)),"",C106))</f>
        <v/>
      </c>
      <c r="G106" s="66"/>
      <c r="H106" s="52"/>
      <c r="I106" s="8"/>
      <c r="J106" s="80"/>
      <c r="K106" s="53" t="str">
        <f t="shared" si="252"/>
        <v/>
      </c>
      <c r="L106" s="8"/>
      <c r="M106" s="67" t="str">
        <f>IF(G106="","",'Vereine - Clubs'!$E$28)</f>
        <v/>
      </c>
      <c r="N106" s="40"/>
      <c r="O106" s="43" t="str">
        <f t="shared" si="253"/>
        <v/>
      </c>
      <c r="P106" s="39"/>
      <c r="Q106" s="39"/>
      <c r="R106" s="40"/>
      <c r="S106" s="51" t="str">
        <f>IF(G106="","",
IF(OR(VLOOKUP(M106,'Vereine - Clubs'!E:H,4,0)="Nein",VLOOKUP(M106,'Vereine - Clubs'!E:H,4,0)="No",VLOOKUP(M106,'Vereine - Clubs'!E:H,4,0)="",VLOOKUP(M106,'Vereine - Clubs'!E:H,4,0)="nein",VLOOKUP(M106,'Vereine - Clubs'!E:H,4,0)="no",VLOOKUP(M106,'Vereine - Clubs'!E:H,4,0)=""),"","x"))</f>
        <v/>
      </c>
      <c r="T106" s="66" t="str">
        <f>IF(COUNTIF(T$81:T105,G106&amp;" "&amp;H106)=0,"",VLOOKUP(G106&amp;" "&amp;H106,$AA$5:$AC$80,3,FALSE))</f>
        <v/>
      </c>
      <c r="U106" s="53" t="str">
        <f t="shared" si="256"/>
        <v/>
      </c>
      <c r="V106" s="53" t="str">
        <f t="shared" si="254"/>
        <v/>
      </c>
      <c r="W106" s="52" t="str">
        <f>IF(COUNTIF(W$81:W105,G106&amp;" "&amp;H106)=0,"",VLOOKUP(G106&amp;" "&amp;H106,$AB$5:$AC$80,2,FALSE))</f>
        <v/>
      </c>
      <c r="X106" s="53" t="str">
        <f t="shared" si="257"/>
        <v/>
      </c>
      <c r="Y106" s="54" t="str">
        <f t="shared" si="255"/>
        <v/>
      </c>
      <c r="Z106" s="21" t="str">
        <f>IF(T106="","",IF(OR(T106="searching for partner",T106="Freimeldung",T106="x-partner"),"",IF(ISERROR(VLOOKUP(T106,$F$5:$AT$80,1,0)),IF(Englisch&lt;&gt;"","Please add double partner as participant.     ","Doppelpartner/in bitte noch als Teilnehmer eintragen.     "),IF(VLOOKUP(T106,$F$5:$R$80,4,0)=I106,"",IF(Englisch&lt;&gt;"","Wrong doubles partner     ","Falsche/r Doppelpartner/in     ")))))
&amp;IF(W106="","",IF(OR(W106="searching for partner",W106="Freimeldung",W106="x-partner"),"",IF(ISERROR(VLOOKUP(W106,$F$5:$AT$80,1,0)),IF(Englisch&lt;&gt;"","Please add mixed partner as participant     ","Mixedpartner/in bitte noch als Teilnehmer eintragen.     "),IF(VLOOKUP(W106,$F$5:$R$80,4,0)&lt;&gt;I106,"",IF(Englisch&lt;&gt;"","Wrong mixed partner.     ","Falsche/r Mixedpartner/in     ")))))
&amp;IF(AND(L106&lt;&gt;"",L106&lt;&gt;"A",L106&lt;&gt;"B",L106&lt;&gt;"C",L106&lt;&gt;"D"),IF(Englisch&lt;&gt;"","There is level A,B and C.   ","Dieses Jahr gibt es A-, B- und C-Klassen. Bitte korrigieren.   "),"")
&amp;
IF(AND(L106="B",OR(K106=911)),IF(Englisch&lt;&gt;"","There ist no level B in this age group. Please play in A.   ","In dieser Altersklasse keine B-Klasse. Bitte spiele in A.  "),"")&amp;
IF(AND(L106="A",OR(K106=915,K106=917,K106=919)),IF(Englisch&lt;&gt;"","There ist no level A in this age group. Please play in B.   ","In dieser Altersklasse keine A-Klasse. Bitte spiele in B.  "),"")
&amp;
IF(AND(M106&lt;&gt;"",COUNTIF('Vereine - Clubs'!$E$28:$E$47,M106)=0),IF(Englisch&lt;&gt;"","Please check club   ","Bitte den Verein überprüfen.   "),"")
&amp;
IF(AND(N106="",OR(AND(K106=11,L106="a"),AND(K106=13,L106="a"))),IFERROR(IF(VLOOKUP(M106,Vereine,4,0)="Nein","",IF(Englisch&lt;&gt;"","Please fill in turnier.de player ID   ","Bitte Spielernummer Turnier.de eintragen.   ")),""),"")
&amp;
IF(M106="","",IF(AND(VLOOKUP(M106,'Vereine - Clubs'!$E:$H,4,0)="Nein",'Teilnehmende - Starters'!S106="x"),IF(Englisch&lt;&gt;"","You can enter singles only if you pay for them.    ","EInzelteilnahme nur bei Übernahme der Bezahlung möglich.    "),""))
&amp;
IF(AND($L106="",$G106&lt;&gt;"",OR($N106&lt;&gt;"",$T106&lt;&gt;"",$W106&lt;&gt;"")),IF(Englisch&lt;&gt;"","Please add the level.     ","Bitte Spielklasse ergänzen.     "),"")</f>
        <v/>
      </c>
      <c r="AA106" s="4">
        <f t="shared" si="249"/>
        <v>0</v>
      </c>
      <c r="AB106" s="4">
        <f t="shared" si="250"/>
        <v>0</v>
      </c>
    </row>
    <row r="107" spans="1:28" ht="15" customHeight="1" x14ac:dyDescent="0.3">
      <c r="A107" s="91" t="str">
        <f t="shared" si="251"/>
        <v/>
      </c>
      <c r="B107" s="10" t="str">
        <f>IF(G107="","",MAX(B$1:B106)+1)</f>
        <v/>
      </c>
      <c r="C107" s="10" t="str">
        <f>IF(B107="","",SUMIF('Vereine - Clubs'!$E$28:$E$47,M107,'Vereine - Clubs'!$C$28:$C$47)*100+B107)</f>
        <v/>
      </c>
      <c r="D107" s="10" t="str">
        <f t="shared" si="246"/>
        <v/>
      </c>
      <c r="E107" s="10" t="str">
        <f>IF(OR($G107="",T107=""),"",IF(AND(SUMIF(T$81:T107,G107&amp;" "&amp;H107,C$81:C107)&lt;20000,OR(COUNTIF(T$81:T107,G107&amp;" "&amp;H107)&gt;0,C107&gt;20000)),"",C107))</f>
        <v/>
      </c>
      <c r="F107" s="10" t="str">
        <f>IF(OR($G107="",W107=""),"",IF(AND(SUMIF(W$81:W107,G107&amp;" "&amp;H107,C$81:C107)&lt;20000,OR(COUNTIF(W$81:W107,G107&amp;" "&amp;H107)&gt;0,C107&gt;20000)),"",C107))</f>
        <v/>
      </c>
      <c r="G107" s="66"/>
      <c r="H107" s="52"/>
      <c r="I107" s="8"/>
      <c r="J107" s="80"/>
      <c r="K107" s="53" t="str">
        <f t="shared" si="252"/>
        <v/>
      </c>
      <c r="L107" s="8"/>
      <c r="M107" s="67" t="str">
        <f>IF(G107="","",'Vereine - Clubs'!$E$28)</f>
        <v/>
      </c>
      <c r="N107" s="40"/>
      <c r="O107" s="43" t="str">
        <f t="shared" si="253"/>
        <v/>
      </c>
      <c r="P107" s="39"/>
      <c r="Q107" s="39"/>
      <c r="R107" s="40"/>
      <c r="S107" s="51" t="str">
        <f>IF(G107="","",
IF(OR(VLOOKUP(M107,'Vereine - Clubs'!E:H,4,0)="Nein",VLOOKUP(M107,'Vereine - Clubs'!E:H,4,0)="No",VLOOKUP(M107,'Vereine - Clubs'!E:H,4,0)="",VLOOKUP(M107,'Vereine - Clubs'!E:H,4,0)="nein",VLOOKUP(M107,'Vereine - Clubs'!E:H,4,0)="no",VLOOKUP(M107,'Vereine - Clubs'!E:H,4,0)=""),"","x"))</f>
        <v/>
      </c>
      <c r="T107" s="66" t="str">
        <f>IF(COUNTIF(T$81:T106,G107&amp;" "&amp;H107)=0,"",VLOOKUP(G107&amp;" "&amp;H107,$AA$5:$AC$80,3,FALSE))</f>
        <v/>
      </c>
      <c r="U107" s="53" t="str">
        <f t="shared" si="256"/>
        <v/>
      </c>
      <c r="V107" s="53" t="str">
        <f t="shared" si="254"/>
        <v/>
      </c>
      <c r="W107" s="52" t="str">
        <f>IF(COUNTIF(W$81:W106,G107&amp;" "&amp;H107)=0,"",VLOOKUP(G107&amp;" "&amp;H107,$AB$5:$AC$80,2,FALSE))</f>
        <v/>
      </c>
      <c r="X107" s="53" t="str">
        <f t="shared" si="257"/>
        <v/>
      </c>
      <c r="Y107" s="54" t="str">
        <f t="shared" si="255"/>
        <v/>
      </c>
      <c r="Z107" s="21" t="str">
        <f>IF(T107="","",IF(OR(T107="searching for partner",T107="Freimeldung",T107="x-partner"),"",IF(ISERROR(VLOOKUP(T107,$F$5:$AT$80,1,0)),IF(Englisch&lt;&gt;"","Please add double partner as participant.     ","Doppelpartner/in bitte noch als Teilnehmer eintragen.     "),IF(VLOOKUP(T107,$F$5:$R$80,4,0)=I107,"",IF(Englisch&lt;&gt;"","Wrong doubles partner     ","Falsche/r Doppelpartner/in     ")))))
&amp;IF(W107="","",IF(OR(W107="searching for partner",W107="Freimeldung",W107="x-partner"),"",IF(ISERROR(VLOOKUP(W107,$F$5:$AT$80,1,0)),IF(Englisch&lt;&gt;"","Please add mixed partner as participant     ","Mixedpartner/in bitte noch als Teilnehmer eintragen.     "),IF(VLOOKUP(W107,$F$5:$R$80,4,0)&lt;&gt;I107,"",IF(Englisch&lt;&gt;"","Wrong mixed partner.     ","Falsche/r Mixedpartner/in     ")))))
&amp;IF(AND(L107&lt;&gt;"",L107&lt;&gt;"A",L107&lt;&gt;"B",L107&lt;&gt;"C",L107&lt;&gt;"D"),IF(Englisch&lt;&gt;"","There is level A,B and C.   ","Dieses Jahr gibt es A-, B- und C-Klassen. Bitte korrigieren.   "),"")
&amp;
IF(AND(L107="B",OR(K107=911)),IF(Englisch&lt;&gt;"","There ist no level B in this age group. Please play in A.   ","In dieser Altersklasse keine B-Klasse. Bitte spiele in A.  "),"")&amp;
IF(AND(L107="A",OR(K107=915,K107=917,K107=919)),IF(Englisch&lt;&gt;"","There ist no level A in this age group. Please play in B.   ","In dieser Altersklasse keine A-Klasse. Bitte spiele in B.  "),"")
&amp;
IF(AND(M107&lt;&gt;"",COUNTIF('Vereine - Clubs'!$E$28:$E$47,M107)=0),IF(Englisch&lt;&gt;"","Please check club   ","Bitte den Verein überprüfen.   "),"")
&amp;
IF(AND(N107="",OR(AND(K107=11,L107="a"),AND(K107=13,L107="a"))),IFERROR(IF(VLOOKUP(M107,Vereine,4,0)="Nein","",IF(Englisch&lt;&gt;"","Please fill in turnier.de player ID   ","Bitte Spielernummer Turnier.de eintragen.   ")),""),"")
&amp;
IF(M107="","",IF(AND(VLOOKUP(M107,'Vereine - Clubs'!$E:$H,4,0)="Nein",'Teilnehmende - Starters'!S107="x"),IF(Englisch&lt;&gt;"","You can enter singles only if you pay for them.    ","EInzelteilnahme nur bei Übernahme der Bezahlung möglich.    "),""))
&amp;
IF(AND($L107="",$G107&lt;&gt;"",OR($N107&lt;&gt;"",$T107&lt;&gt;"",$W107&lt;&gt;"")),IF(Englisch&lt;&gt;"","Please add the level.     ","Bitte Spielklasse ergänzen.     "),"")</f>
        <v/>
      </c>
      <c r="AA107" s="4">
        <f t="shared" si="249"/>
        <v>0</v>
      </c>
      <c r="AB107" s="4">
        <f t="shared" si="250"/>
        <v>0</v>
      </c>
    </row>
    <row r="108" spans="1:28" ht="15" customHeight="1" x14ac:dyDescent="0.3">
      <c r="A108" s="91" t="str">
        <f t="shared" si="251"/>
        <v/>
      </c>
      <c r="B108" s="10" t="str">
        <f>IF(G108="","",MAX(B$1:B107)+1)</f>
        <v/>
      </c>
      <c r="C108" s="10" t="str">
        <f>IF(B108="","",SUMIF('Vereine - Clubs'!$E$28:$E$47,M108,'Vereine - Clubs'!$C$28:$C$47)*100+B108)</f>
        <v/>
      </c>
      <c r="D108" s="10" t="str">
        <f t="shared" si="246"/>
        <v/>
      </c>
      <c r="E108" s="10" t="str">
        <f>IF(OR($G108="",T108=""),"",IF(AND(SUMIF(T$81:T108,G108&amp;" "&amp;H108,C$81:C108)&lt;20000,OR(COUNTIF(T$81:T108,G108&amp;" "&amp;H108)&gt;0,C108&gt;20000)),"",C108))</f>
        <v/>
      </c>
      <c r="F108" s="10" t="str">
        <f>IF(OR($G108="",W108=""),"",IF(AND(SUMIF(W$81:W108,G108&amp;" "&amp;H108,C$81:C108)&lt;20000,OR(COUNTIF(W$81:W108,G108&amp;" "&amp;H108)&gt;0,C108&gt;20000)),"",C108))</f>
        <v/>
      </c>
      <c r="G108" s="66"/>
      <c r="H108" s="52"/>
      <c r="I108" s="8"/>
      <c r="J108" s="80"/>
      <c r="K108" s="53" t="str">
        <f t="shared" si="252"/>
        <v/>
      </c>
      <c r="L108" s="8"/>
      <c r="M108" s="67" t="str">
        <f>IF(G108="","",'Vereine - Clubs'!$E$28)</f>
        <v/>
      </c>
      <c r="N108" s="40"/>
      <c r="O108" s="43" t="str">
        <f t="shared" si="253"/>
        <v/>
      </c>
      <c r="P108" s="39"/>
      <c r="Q108" s="39"/>
      <c r="R108" s="40"/>
      <c r="S108" s="51" t="str">
        <f>IF(G108="","",
IF(OR(VLOOKUP(M108,'Vereine - Clubs'!E:H,4,0)="Nein",VLOOKUP(M108,'Vereine - Clubs'!E:H,4,0)="No",VLOOKUP(M108,'Vereine - Clubs'!E:H,4,0)="",VLOOKUP(M108,'Vereine - Clubs'!E:H,4,0)="nein",VLOOKUP(M108,'Vereine - Clubs'!E:H,4,0)="no",VLOOKUP(M108,'Vereine - Clubs'!E:H,4,0)=""),"","x"))</f>
        <v/>
      </c>
      <c r="T108" s="66" t="str">
        <f>IF(COUNTIF(T$81:T107,G108&amp;" "&amp;H108)=0,"",VLOOKUP(G108&amp;" "&amp;H108,$AA$5:$AC$80,3,FALSE))</f>
        <v/>
      </c>
      <c r="U108" s="53" t="str">
        <f t="shared" si="256"/>
        <v/>
      </c>
      <c r="V108" s="53" t="str">
        <f t="shared" si="254"/>
        <v/>
      </c>
      <c r="W108" s="52" t="str">
        <f>IF(COUNTIF(W$81:W107,G108&amp;" "&amp;H108)=0,"",VLOOKUP(G108&amp;" "&amp;H108,$AB$5:$AC$80,2,FALSE))</f>
        <v/>
      </c>
      <c r="X108" s="53" t="str">
        <f t="shared" si="257"/>
        <v/>
      </c>
      <c r="Y108" s="54" t="str">
        <f t="shared" si="255"/>
        <v/>
      </c>
      <c r="Z108" s="21" t="str">
        <f>IF(T108="","",IF(OR(T108="searching for partner",T108="Freimeldung",T108="x-partner"),"",IF(ISERROR(VLOOKUP(T108,$F$5:$AT$80,1,0)),IF(Englisch&lt;&gt;"","Please add double partner as participant.     ","Doppelpartner/in bitte noch als Teilnehmer eintragen.     "),IF(VLOOKUP(T108,$F$5:$R$80,4,0)=I108,"",IF(Englisch&lt;&gt;"","Wrong doubles partner     ","Falsche/r Doppelpartner/in     ")))))
&amp;IF(W108="","",IF(OR(W108="searching for partner",W108="Freimeldung",W108="x-partner"),"",IF(ISERROR(VLOOKUP(W108,$F$5:$AT$80,1,0)),IF(Englisch&lt;&gt;"","Please add mixed partner as participant     ","Mixedpartner/in bitte noch als Teilnehmer eintragen.     "),IF(VLOOKUP(W108,$F$5:$R$80,4,0)&lt;&gt;I108,"",IF(Englisch&lt;&gt;"","Wrong mixed partner.     ","Falsche/r Mixedpartner/in     ")))))
&amp;IF(AND(L108&lt;&gt;"",L108&lt;&gt;"A",L108&lt;&gt;"B",L108&lt;&gt;"C",L108&lt;&gt;"D"),IF(Englisch&lt;&gt;"","There is level A,B and C.   ","Dieses Jahr gibt es A-, B- und C-Klassen. Bitte korrigieren.   "),"")
&amp;
IF(AND(L108="B",OR(K108=911)),IF(Englisch&lt;&gt;"","There ist no level B in this age group. Please play in A.   ","In dieser Altersklasse keine B-Klasse. Bitte spiele in A.  "),"")&amp;
IF(AND(L108="A",OR(K108=915,K108=917,K108=919)),IF(Englisch&lt;&gt;"","There ist no level A in this age group. Please play in B.   ","In dieser Altersklasse keine A-Klasse. Bitte spiele in B.  "),"")
&amp;
IF(AND(M108&lt;&gt;"",COUNTIF('Vereine - Clubs'!$E$28:$E$47,M108)=0),IF(Englisch&lt;&gt;"","Please check club   ","Bitte den Verein überprüfen.   "),"")
&amp;
IF(AND(N108="",OR(AND(K108=11,L108="a"),AND(K108=13,L108="a"))),IFERROR(IF(VLOOKUP(M108,Vereine,4,0)="Nein","",IF(Englisch&lt;&gt;"","Please fill in turnier.de player ID   ","Bitte Spielernummer Turnier.de eintragen.   ")),""),"")
&amp;
IF(M108="","",IF(AND(VLOOKUP(M108,'Vereine - Clubs'!$E:$H,4,0)="Nein",'Teilnehmende - Starters'!S108="x"),IF(Englisch&lt;&gt;"","You can enter singles only if you pay for them.    ","EInzelteilnahme nur bei Übernahme der Bezahlung möglich.    "),""))
&amp;
IF(AND($L108="",$G108&lt;&gt;"",OR($N108&lt;&gt;"",$T108&lt;&gt;"",$W108&lt;&gt;"")),IF(Englisch&lt;&gt;"","Please add the level.     ","Bitte Spielklasse ergänzen.     "),"")</f>
        <v/>
      </c>
      <c r="AA108" s="4">
        <f t="shared" si="249"/>
        <v>0</v>
      </c>
      <c r="AB108" s="4">
        <f t="shared" si="250"/>
        <v>0</v>
      </c>
    </row>
    <row r="109" spans="1:28" ht="15" customHeight="1" x14ac:dyDescent="0.3">
      <c r="A109" s="91" t="str">
        <f t="shared" si="251"/>
        <v/>
      </c>
      <c r="B109" s="10" t="str">
        <f>IF(G109="","",MAX(B$1:B108)+1)</f>
        <v/>
      </c>
      <c r="C109" s="10" t="str">
        <f>IF(B109="","",SUMIF('Vereine - Clubs'!$E$28:$E$47,M109,'Vereine - Clubs'!$C$28:$C$47)*100+B109)</f>
        <v/>
      </c>
      <c r="D109" s="10" t="str">
        <f t="shared" si="246"/>
        <v/>
      </c>
      <c r="E109" s="10" t="str">
        <f>IF(OR($G109="",T109=""),"",IF(AND(SUMIF(T$81:T109,G109&amp;" "&amp;H109,C$81:C109)&lt;20000,OR(COUNTIF(T$81:T109,G109&amp;" "&amp;H109)&gt;0,C109&gt;20000)),"",C109))</f>
        <v/>
      </c>
      <c r="F109" s="10" t="str">
        <f>IF(OR($G109="",W109=""),"",IF(AND(SUMIF(W$81:W109,G109&amp;" "&amp;H109,C$81:C109)&lt;20000,OR(COUNTIF(W$81:W109,G109&amp;" "&amp;H109)&gt;0,C109&gt;20000)),"",C109))</f>
        <v/>
      </c>
      <c r="G109" s="66"/>
      <c r="H109" s="52"/>
      <c r="I109" s="8"/>
      <c r="J109" s="80"/>
      <c r="K109" s="53" t="str">
        <f t="shared" si="252"/>
        <v/>
      </c>
      <c r="L109" s="8"/>
      <c r="M109" s="67" t="str">
        <f>IF(G109="","",'Vereine - Clubs'!$E$28)</f>
        <v/>
      </c>
      <c r="N109" s="40"/>
      <c r="O109" s="43" t="str">
        <f t="shared" si="253"/>
        <v/>
      </c>
      <c r="P109" s="39"/>
      <c r="Q109" s="39"/>
      <c r="R109" s="40"/>
      <c r="S109" s="51" t="str">
        <f>IF(G109="","",
IF(OR(VLOOKUP(M109,'Vereine - Clubs'!E:H,4,0)="Nein",VLOOKUP(M109,'Vereine - Clubs'!E:H,4,0)="No",VLOOKUP(M109,'Vereine - Clubs'!E:H,4,0)="",VLOOKUP(M109,'Vereine - Clubs'!E:H,4,0)="nein",VLOOKUP(M109,'Vereine - Clubs'!E:H,4,0)="no",VLOOKUP(M109,'Vereine - Clubs'!E:H,4,0)=""),"","x"))</f>
        <v/>
      </c>
      <c r="T109" s="66" t="str">
        <f>IF(COUNTIF(T$81:T108,G109&amp;" "&amp;H109)=0,"",VLOOKUP(G109&amp;" "&amp;H109,$AA$5:$AC$80,3,FALSE))</f>
        <v/>
      </c>
      <c r="U109" s="53" t="str">
        <f t="shared" si="256"/>
        <v/>
      </c>
      <c r="V109" s="53" t="str">
        <f t="shared" si="254"/>
        <v/>
      </c>
      <c r="W109" s="52" t="str">
        <f>IF(COUNTIF(W$81:W108,G109&amp;" "&amp;H109)=0,"",VLOOKUP(G109&amp;" "&amp;H109,$AB$5:$AC$80,2,FALSE))</f>
        <v/>
      </c>
      <c r="X109" s="53" t="str">
        <f t="shared" si="257"/>
        <v/>
      </c>
      <c r="Y109" s="54" t="str">
        <f t="shared" si="255"/>
        <v/>
      </c>
      <c r="Z109" s="21" t="str">
        <f>IF(T109="","",IF(OR(T109="searching for partner",T109="Freimeldung",T109="x-partner"),"",IF(ISERROR(VLOOKUP(T109,$F$5:$AT$80,1,0)),IF(Englisch&lt;&gt;"","Please add double partner as participant.     ","Doppelpartner/in bitte noch als Teilnehmer eintragen.     "),IF(VLOOKUP(T109,$F$5:$R$80,4,0)=I109,"",IF(Englisch&lt;&gt;"","Wrong doubles partner     ","Falsche/r Doppelpartner/in     ")))))
&amp;IF(W109="","",IF(OR(W109="searching for partner",W109="Freimeldung",W109="x-partner"),"",IF(ISERROR(VLOOKUP(W109,$F$5:$AT$80,1,0)),IF(Englisch&lt;&gt;"","Please add mixed partner as participant     ","Mixedpartner/in bitte noch als Teilnehmer eintragen.     "),IF(VLOOKUP(W109,$F$5:$R$80,4,0)&lt;&gt;I109,"",IF(Englisch&lt;&gt;"","Wrong mixed partner.     ","Falsche/r Mixedpartner/in     ")))))
&amp;IF(AND(L109&lt;&gt;"",L109&lt;&gt;"A",L109&lt;&gt;"B",L109&lt;&gt;"C",L109&lt;&gt;"D"),IF(Englisch&lt;&gt;"","There is level A,B and C.   ","Dieses Jahr gibt es A-, B- und C-Klassen. Bitte korrigieren.   "),"")
&amp;
IF(AND(L109="B",OR(K109=911)),IF(Englisch&lt;&gt;"","There ist no level B in this age group. Please play in A.   ","In dieser Altersklasse keine B-Klasse. Bitte spiele in A.  "),"")&amp;
IF(AND(L109="A",OR(K109=915,K109=917,K109=919)),IF(Englisch&lt;&gt;"","There ist no level A in this age group. Please play in B.   ","In dieser Altersklasse keine A-Klasse. Bitte spiele in B.  "),"")
&amp;
IF(AND(M109&lt;&gt;"",COUNTIF('Vereine - Clubs'!$E$28:$E$47,M109)=0),IF(Englisch&lt;&gt;"","Please check club   ","Bitte den Verein überprüfen.   "),"")
&amp;
IF(AND(N109="",OR(AND(K109=11,L109="a"),AND(K109=13,L109="a"))),IFERROR(IF(VLOOKUP(M109,Vereine,4,0)="Nein","",IF(Englisch&lt;&gt;"","Please fill in turnier.de player ID   ","Bitte Spielernummer Turnier.de eintragen.   ")),""),"")
&amp;
IF(M109="","",IF(AND(VLOOKUP(M109,'Vereine - Clubs'!$E:$H,4,0)="Nein",'Teilnehmende - Starters'!S109="x"),IF(Englisch&lt;&gt;"","You can enter singles only if you pay for them.    ","EInzelteilnahme nur bei Übernahme der Bezahlung möglich.    "),""))
&amp;
IF(AND($L109="",$G109&lt;&gt;"",OR($N109&lt;&gt;"",$T109&lt;&gt;"",$W109&lt;&gt;"")),IF(Englisch&lt;&gt;"","Please add the level.     ","Bitte Spielklasse ergänzen.     "),"")</f>
        <v/>
      </c>
      <c r="AA109" s="4">
        <f t="shared" si="249"/>
        <v>0</v>
      </c>
      <c r="AB109" s="4">
        <f t="shared" si="250"/>
        <v>0</v>
      </c>
    </row>
    <row r="110" spans="1:28" ht="15" customHeight="1" x14ac:dyDescent="0.3">
      <c r="A110" s="91" t="str">
        <f t="shared" si="251"/>
        <v/>
      </c>
      <c r="B110" s="10" t="str">
        <f>IF(G110="","",MAX(B$1:B109)+1)</f>
        <v/>
      </c>
      <c r="C110" s="10" t="str">
        <f>IF(B110="","",SUMIF('Vereine - Clubs'!$E$28:$E$47,M110,'Vereine - Clubs'!$C$28:$C$47)*100+B110)</f>
        <v/>
      </c>
      <c r="D110" s="10" t="str">
        <f t="shared" si="246"/>
        <v/>
      </c>
      <c r="E110" s="10" t="str">
        <f>IF(OR($G110="",T110=""),"",IF(AND(SUMIF(T$81:T110,G110&amp;" "&amp;H110,C$81:C110)&lt;20000,OR(COUNTIF(T$81:T110,G110&amp;" "&amp;H110)&gt;0,C110&gt;20000)),"",C110))</f>
        <v/>
      </c>
      <c r="F110" s="10" t="str">
        <f>IF(OR($G110="",W110=""),"",IF(AND(SUMIF(W$81:W110,G110&amp;" "&amp;H110,C$81:C110)&lt;20000,OR(COUNTIF(W$81:W110,G110&amp;" "&amp;H110)&gt;0,C110&gt;20000)),"",C110))</f>
        <v/>
      </c>
      <c r="G110" s="66"/>
      <c r="H110" s="52"/>
      <c r="I110" s="8"/>
      <c r="J110" s="80"/>
      <c r="K110" s="53" t="str">
        <f t="shared" si="252"/>
        <v/>
      </c>
      <c r="L110" s="8"/>
      <c r="M110" s="67" t="str">
        <f>IF(G110="","",'Vereine - Clubs'!$E$28)</f>
        <v/>
      </c>
      <c r="N110" s="40"/>
      <c r="O110" s="43" t="str">
        <f t="shared" si="253"/>
        <v/>
      </c>
      <c r="P110" s="39"/>
      <c r="Q110" s="39"/>
      <c r="R110" s="40"/>
      <c r="S110" s="51" t="str">
        <f>IF(G110="","",
IF(OR(VLOOKUP(M110,'Vereine - Clubs'!E:H,4,0)="Nein",VLOOKUP(M110,'Vereine - Clubs'!E:H,4,0)="No",VLOOKUP(M110,'Vereine - Clubs'!E:H,4,0)="",VLOOKUP(M110,'Vereine - Clubs'!E:H,4,0)="nein",VLOOKUP(M110,'Vereine - Clubs'!E:H,4,0)="no",VLOOKUP(M110,'Vereine - Clubs'!E:H,4,0)=""),"","x"))</f>
        <v/>
      </c>
      <c r="T110" s="66" t="str">
        <f>IF(COUNTIF(T$81:T109,G110&amp;" "&amp;H110)=0,"",VLOOKUP(G110&amp;" "&amp;H110,$AA$5:$AC$80,3,FALSE))</f>
        <v/>
      </c>
      <c r="U110" s="53" t="str">
        <f t="shared" si="256"/>
        <v/>
      </c>
      <c r="V110" s="53" t="str">
        <f t="shared" si="254"/>
        <v/>
      </c>
      <c r="W110" s="52" t="str">
        <f>IF(COUNTIF(W$81:W109,G110&amp;" "&amp;H110)=0,"",VLOOKUP(G110&amp;" "&amp;H110,$AB$5:$AC$80,2,FALSE))</f>
        <v/>
      </c>
      <c r="X110" s="53" t="str">
        <f t="shared" si="257"/>
        <v/>
      </c>
      <c r="Y110" s="54" t="str">
        <f t="shared" si="255"/>
        <v/>
      </c>
      <c r="Z110" s="21" t="str">
        <f>IF(T110="","",IF(OR(T110="searching for partner",T110="Freimeldung",T110="x-partner"),"",IF(ISERROR(VLOOKUP(T110,$F$5:$AT$80,1,0)),IF(Englisch&lt;&gt;"","Please add double partner as participant.     ","Doppelpartner/in bitte noch als Teilnehmer eintragen.     "),IF(VLOOKUP(T110,$F$5:$R$80,4,0)=I110,"",IF(Englisch&lt;&gt;"","Wrong doubles partner     ","Falsche/r Doppelpartner/in     ")))))
&amp;IF(W110="","",IF(OR(W110="searching for partner",W110="Freimeldung",W110="x-partner"),"",IF(ISERROR(VLOOKUP(W110,$F$5:$AT$80,1,0)),IF(Englisch&lt;&gt;"","Please add mixed partner as participant     ","Mixedpartner/in bitte noch als Teilnehmer eintragen.     "),IF(VLOOKUP(W110,$F$5:$R$80,4,0)&lt;&gt;I110,"",IF(Englisch&lt;&gt;"","Wrong mixed partner.     ","Falsche/r Mixedpartner/in     ")))))
&amp;IF(AND(L110&lt;&gt;"",L110&lt;&gt;"A",L110&lt;&gt;"B",L110&lt;&gt;"C",L110&lt;&gt;"D"),IF(Englisch&lt;&gt;"","There is level A,B and C.   ","Dieses Jahr gibt es A-, B- und C-Klassen. Bitte korrigieren.   "),"")
&amp;
IF(AND(L110="B",OR(K110=911)),IF(Englisch&lt;&gt;"","There ist no level B in this age group. Please play in A.   ","In dieser Altersklasse keine B-Klasse. Bitte spiele in A.  "),"")&amp;
IF(AND(L110="A",OR(K110=915,K110=917,K110=919)),IF(Englisch&lt;&gt;"","There ist no level A in this age group. Please play in B.   ","In dieser Altersklasse keine A-Klasse. Bitte spiele in B.  "),"")
&amp;
IF(AND(M110&lt;&gt;"",COUNTIF('Vereine - Clubs'!$E$28:$E$47,M110)=0),IF(Englisch&lt;&gt;"","Please check club   ","Bitte den Verein überprüfen.   "),"")
&amp;
IF(AND(N110="",OR(AND(K110=11,L110="a"),AND(K110=13,L110="a"))),IFERROR(IF(VLOOKUP(M110,Vereine,4,0)="Nein","",IF(Englisch&lt;&gt;"","Please fill in turnier.de player ID   ","Bitte Spielernummer Turnier.de eintragen.   ")),""),"")
&amp;
IF(M110="","",IF(AND(VLOOKUP(M110,'Vereine - Clubs'!$E:$H,4,0)="Nein",'Teilnehmende - Starters'!S110="x"),IF(Englisch&lt;&gt;"","You can enter singles only if you pay for them.    ","EInzelteilnahme nur bei Übernahme der Bezahlung möglich.    "),""))
&amp;
IF(AND($L110="",$G110&lt;&gt;"",OR($N110&lt;&gt;"",$T110&lt;&gt;"",$W110&lt;&gt;"")),IF(Englisch&lt;&gt;"","Please add the level.     ","Bitte Spielklasse ergänzen.     "),"")</f>
        <v/>
      </c>
      <c r="AA110" s="4">
        <f t="shared" si="249"/>
        <v>0</v>
      </c>
      <c r="AB110" s="4">
        <f t="shared" si="250"/>
        <v>0</v>
      </c>
    </row>
    <row r="111" spans="1:28" ht="15" customHeight="1" x14ac:dyDescent="0.3">
      <c r="A111" s="91" t="str">
        <f t="shared" si="251"/>
        <v/>
      </c>
      <c r="B111" s="10" t="str">
        <f>IF(G111="","",MAX(B$1:B110)+1)</f>
        <v/>
      </c>
      <c r="C111" s="10" t="str">
        <f>IF(B111="","",SUMIF('Vereine - Clubs'!$E$28:$E$47,M111,'Vereine - Clubs'!$C$28:$C$47)*100+B111)</f>
        <v/>
      </c>
      <c r="D111" s="10" t="str">
        <f t="shared" si="246"/>
        <v/>
      </c>
      <c r="E111" s="10" t="str">
        <f>IF(OR($G111="",T111=""),"",IF(AND(SUMIF(T$81:T111,G111&amp;" "&amp;H111,C$81:C111)&lt;20000,OR(COUNTIF(T$81:T111,G111&amp;" "&amp;H111)&gt;0,C111&gt;20000)),"",C111))</f>
        <v/>
      </c>
      <c r="F111" s="10" t="str">
        <f>IF(OR($G111="",W111=""),"",IF(AND(SUMIF(W$81:W111,G111&amp;" "&amp;H111,C$81:C111)&lt;20000,OR(COUNTIF(W$81:W111,G111&amp;" "&amp;H111)&gt;0,C111&gt;20000)),"",C111))</f>
        <v/>
      </c>
      <c r="G111" s="66"/>
      <c r="H111" s="52"/>
      <c r="I111" s="8"/>
      <c r="J111" s="80"/>
      <c r="K111" s="53" t="str">
        <f t="shared" si="252"/>
        <v/>
      </c>
      <c r="L111" s="8"/>
      <c r="M111" s="67" t="str">
        <f>IF(G111="","",'Vereine - Clubs'!$E$28)</f>
        <v/>
      </c>
      <c r="N111" s="40"/>
      <c r="O111" s="43" t="str">
        <f t="shared" si="253"/>
        <v/>
      </c>
      <c r="P111" s="39"/>
      <c r="Q111" s="39"/>
      <c r="R111" s="40"/>
      <c r="S111" s="51" t="str">
        <f>IF(G111="","",
IF(OR(VLOOKUP(M111,'Vereine - Clubs'!E:H,4,0)="Nein",VLOOKUP(M111,'Vereine - Clubs'!E:H,4,0)="No",VLOOKUP(M111,'Vereine - Clubs'!E:H,4,0)="",VLOOKUP(M111,'Vereine - Clubs'!E:H,4,0)="nein",VLOOKUP(M111,'Vereine - Clubs'!E:H,4,0)="no",VLOOKUP(M111,'Vereine - Clubs'!E:H,4,0)=""),"","x"))</f>
        <v/>
      </c>
      <c r="T111" s="66" t="str">
        <f>IF(COUNTIF(T$81:T110,G111&amp;" "&amp;H111)=0,"",VLOOKUP(G111&amp;" "&amp;H111,$AA$5:$AC$80,3,FALSE))</f>
        <v/>
      </c>
      <c r="U111" s="53" t="str">
        <f t="shared" si="256"/>
        <v/>
      </c>
      <c r="V111" s="53" t="str">
        <f t="shared" si="254"/>
        <v/>
      </c>
      <c r="W111" s="52" t="str">
        <f>IF(COUNTIF(W$81:W110,G111&amp;" "&amp;H111)=0,"",VLOOKUP(G111&amp;" "&amp;H111,$AB$5:$AC$80,2,FALSE))</f>
        <v/>
      </c>
      <c r="X111" s="53" t="str">
        <f t="shared" si="257"/>
        <v/>
      </c>
      <c r="Y111" s="54" t="str">
        <f t="shared" si="255"/>
        <v/>
      </c>
      <c r="Z111" s="21" t="str">
        <f>IF(T111="","",IF(OR(T111="searching for partner",T111="Freimeldung",T111="x-partner"),"",IF(ISERROR(VLOOKUP(T111,$F$5:$AT$80,1,0)),IF(Englisch&lt;&gt;"","Please add double partner as participant.     ","Doppelpartner/in bitte noch als Teilnehmer eintragen.     "),IF(VLOOKUP(T111,$F$5:$R$80,4,0)=I111,"",IF(Englisch&lt;&gt;"","Wrong doubles partner     ","Falsche/r Doppelpartner/in     ")))))
&amp;IF(W111="","",IF(OR(W111="searching for partner",W111="Freimeldung",W111="x-partner"),"",IF(ISERROR(VLOOKUP(W111,$F$5:$AT$80,1,0)),IF(Englisch&lt;&gt;"","Please add mixed partner as participant     ","Mixedpartner/in bitte noch als Teilnehmer eintragen.     "),IF(VLOOKUP(W111,$F$5:$R$80,4,0)&lt;&gt;I111,"",IF(Englisch&lt;&gt;"","Wrong mixed partner.     ","Falsche/r Mixedpartner/in     ")))))
&amp;IF(AND(L111&lt;&gt;"",L111&lt;&gt;"A",L111&lt;&gt;"B",L111&lt;&gt;"C",L111&lt;&gt;"D"),IF(Englisch&lt;&gt;"","There is level A,B and C.   ","Dieses Jahr gibt es A-, B- und C-Klassen. Bitte korrigieren.   "),"")
&amp;
IF(AND(L111="B",OR(K111=911)),IF(Englisch&lt;&gt;"","There ist no level B in this age group. Please play in A.   ","In dieser Altersklasse keine B-Klasse. Bitte spiele in A.  "),"")&amp;
IF(AND(L111="A",OR(K111=915,K111=917,K111=919)),IF(Englisch&lt;&gt;"","There ist no level A in this age group. Please play in B.   ","In dieser Altersklasse keine A-Klasse. Bitte spiele in B.  "),"")
&amp;
IF(AND(M111&lt;&gt;"",COUNTIF('Vereine - Clubs'!$E$28:$E$47,M111)=0),IF(Englisch&lt;&gt;"","Please check club   ","Bitte den Verein überprüfen.   "),"")
&amp;
IF(AND(N111="",OR(AND(K111=11,L111="a"),AND(K111=13,L111="a"))),IFERROR(IF(VLOOKUP(M111,Vereine,4,0)="Nein","",IF(Englisch&lt;&gt;"","Please fill in turnier.de player ID   ","Bitte Spielernummer Turnier.de eintragen.   ")),""),"")
&amp;
IF(M111="","",IF(AND(VLOOKUP(M111,'Vereine - Clubs'!$E:$H,4,0)="Nein",'Teilnehmende - Starters'!S111="x"),IF(Englisch&lt;&gt;"","You can enter singles only if you pay for them.    ","EInzelteilnahme nur bei Übernahme der Bezahlung möglich.    "),""))
&amp;
IF(AND($L111="",$G111&lt;&gt;"",OR($N111&lt;&gt;"",$T111&lt;&gt;"",$W111&lt;&gt;"")),IF(Englisch&lt;&gt;"","Please add the level.     ","Bitte Spielklasse ergänzen.     "),"")</f>
        <v/>
      </c>
      <c r="AA111" s="4">
        <f t="shared" si="249"/>
        <v>0</v>
      </c>
      <c r="AB111" s="4">
        <f t="shared" si="250"/>
        <v>0</v>
      </c>
    </row>
    <row r="112" spans="1:28" ht="15" customHeight="1" x14ac:dyDescent="0.3">
      <c r="A112" s="91" t="str">
        <f t="shared" si="251"/>
        <v/>
      </c>
      <c r="B112" s="10" t="str">
        <f>IF(G112="","",MAX(B$1:B111)+1)</f>
        <v/>
      </c>
      <c r="C112" s="10" t="str">
        <f>IF(B112="","",SUMIF('Vereine - Clubs'!$E$28:$E$47,M112,'Vereine - Clubs'!$C$28:$C$47)*100+B112)</f>
        <v/>
      </c>
      <c r="D112" s="10" t="str">
        <f t="shared" si="246"/>
        <v/>
      </c>
      <c r="E112" s="10" t="str">
        <f>IF(OR($G112="",T112=""),"",IF(AND(SUMIF(T$81:T112,G112&amp;" "&amp;H112,C$81:C112)&lt;20000,OR(COUNTIF(T$81:T112,G112&amp;" "&amp;H112)&gt;0,C112&gt;20000)),"",C112))</f>
        <v/>
      </c>
      <c r="F112" s="10" t="str">
        <f>IF(OR($G112="",W112=""),"",IF(AND(SUMIF(W$81:W112,G112&amp;" "&amp;H112,C$81:C112)&lt;20000,OR(COUNTIF(W$81:W112,G112&amp;" "&amp;H112)&gt;0,C112&gt;20000)),"",C112))</f>
        <v/>
      </c>
      <c r="G112" s="66"/>
      <c r="H112" s="52"/>
      <c r="I112" s="8"/>
      <c r="J112" s="80"/>
      <c r="K112" s="53" t="str">
        <f t="shared" si="252"/>
        <v/>
      </c>
      <c r="L112" s="8"/>
      <c r="M112" s="67" t="str">
        <f>IF(G112="","",'Vereine - Clubs'!$E$28)</f>
        <v/>
      </c>
      <c r="N112" s="40"/>
      <c r="O112" s="43" t="str">
        <f t="shared" si="253"/>
        <v/>
      </c>
      <c r="P112" s="39"/>
      <c r="Q112" s="39"/>
      <c r="R112" s="40"/>
      <c r="S112" s="51" t="str">
        <f>IF(G112="","",
IF(OR(VLOOKUP(M112,'Vereine - Clubs'!E:H,4,0)="Nein",VLOOKUP(M112,'Vereine - Clubs'!E:H,4,0)="No",VLOOKUP(M112,'Vereine - Clubs'!E:H,4,0)="",VLOOKUP(M112,'Vereine - Clubs'!E:H,4,0)="nein",VLOOKUP(M112,'Vereine - Clubs'!E:H,4,0)="no",VLOOKUP(M112,'Vereine - Clubs'!E:H,4,0)=""),"","x"))</f>
        <v/>
      </c>
      <c r="T112" s="66" t="str">
        <f>IF(COUNTIF(T$81:T111,G112&amp;" "&amp;H112)=0,"",VLOOKUP(G112&amp;" "&amp;H112,$AA$5:$AC$80,3,FALSE))</f>
        <v/>
      </c>
      <c r="U112" s="53" t="str">
        <f t="shared" si="256"/>
        <v/>
      </c>
      <c r="V112" s="53" t="str">
        <f t="shared" si="254"/>
        <v/>
      </c>
      <c r="W112" s="52" t="str">
        <f>IF(COUNTIF(W$81:W111,G112&amp;" "&amp;H112)=0,"",VLOOKUP(G112&amp;" "&amp;H112,$AB$5:$AC$80,2,FALSE))</f>
        <v/>
      </c>
      <c r="X112" s="53" t="str">
        <f t="shared" si="257"/>
        <v/>
      </c>
      <c r="Y112" s="54" t="str">
        <f t="shared" si="255"/>
        <v/>
      </c>
      <c r="Z112" s="21" t="str">
        <f>IF(T112="","",IF(OR(T112="searching for partner",T112="Freimeldung",T112="x-partner"),"",IF(ISERROR(VLOOKUP(T112,$F$5:$AT$80,1,0)),IF(Englisch&lt;&gt;"","Please add double partner as participant.     ","Doppelpartner/in bitte noch als Teilnehmer eintragen.     "),IF(VLOOKUP(T112,$F$5:$R$80,4,0)=I112,"",IF(Englisch&lt;&gt;"","Wrong doubles partner     ","Falsche/r Doppelpartner/in     ")))))
&amp;IF(W112="","",IF(OR(W112="searching for partner",W112="Freimeldung",W112="x-partner"),"",IF(ISERROR(VLOOKUP(W112,$F$5:$AT$80,1,0)),IF(Englisch&lt;&gt;"","Please add mixed partner as participant     ","Mixedpartner/in bitte noch als Teilnehmer eintragen.     "),IF(VLOOKUP(W112,$F$5:$R$80,4,0)&lt;&gt;I112,"",IF(Englisch&lt;&gt;"","Wrong mixed partner.     ","Falsche/r Mixedpartner/in     ")))))
&amp;IF(AND(L112&lt;&gt;"",L112&lt;&gt;"A",L112&lt;&gt;"B",L112&lt;&gt;"C",L112&lt;&gt;"D"),IF(Englisch&lt;&gt;"","There is level A,B and C.   ","Dieses Jahr gibt es A-, B- und C-Klassen. Bitte korrigieren.   "),"")
&amp;
IF(AND(L112="B",OR(K112=911)),IF(Englisch&lt;&gt;"","There ist no level B in this age group. Please play in A.   ","In dieser Altersklasse keine B-Klasse. Bitte spiele in A.  "),"")&amp;
IF(AND(L112="A",OR(K112=915,K112=917,K112=919)),IF(Englisch&lt;&gt;"","There ist no level A in this age group. Please play in B.   ","In dieser Altersklasse keine A-Klasse. Bitte spiele in B.  "),"")
&amp;
IF(AND(M112&lt;&gt;"",COUNTIF('Vereine - Clubs'!$E$28:$E$47,M112)=0),IF(Englisch&lt;&gt;"","Please check club   ","Bitte den Verein überprüfen.   "),"")
&amp;
IF(AND(N112="",OR(AND(K112=11,L112="a"),AND(K112=13,L112="a"))),IFERROR(IF(VLOOKUP(M112,Vereine,4,0)="Nein","",IF(Englisch&lt;&gt;"","Please fill in turnier.de player ID   ","Bitte Spielernummer Turnier.de eintragen.   ")),""),"")
&amp;
IF(M112="","",IF(AND(VLOOKUP(M112,'Vereine - Clubs'!$E:$H,4,0)="Nein",'Teilnehmende - Starters'!S112="x"),IF(Englisch&lt;&gt;"","You can enter singles only if you pay for them.    ","EInzelteilnahme nur bei Übernahme der Bezahlung möglich.    "),""))
&amp;
IF(AND($L112="",$G112&lt;&gt;"",OR($N112&lt;&gt;"",$T112&lt;&gt;"",$W112&lt;&gt;"")),IF(Englisch&lt;&gt;"","Please add the level.     ","Bitte Spielklasse ergänzen.     "),"")</f>
        <v/>
      </c>
      <c r="AA112" s="4">
        <f t="shared" si="249"/>
        <v>0</v>
      </c>
      <c r="AB112" s="4">
        <f t="shared" si="250"/>
        <v>0</v>
      </c>
    </row>
    <row r="113" spans="1:28" ht="15" customHeight="1" x14ac:dyDescent="0.3">
      <c r="A113" s="91" t="str">
        <f t="shared" si="251"/>
        <v/>
      </c>
      <c r="B113" s="10" t="str">
        <f>IF(G113="","",MAX(B$1:B112)+1)</f>
        <v/>
      </c>
      <c r="C113" s="10" t="str">
        <f>IF(B113="","",SUMIF('Vereine - Clubs'!$E$28:$E$47,M113,'Vereine - Clubs'!$C$28:$C$47)*100+B113)</f>
        <v/>
      </c>
      <c r="D113" s="10" t="str">
        <f t="shared" ref="D113:D144" si="258">IF(OR($G113="",S113=""),"",C113)</f>
        <v/>
      </c>
      <c r="E113" s="10" t="str">
        <f>IF(OR($G113="",T113=""),"",IF(AND(SUMIF(T$81:T113,G113&amp;" "&amp;H113,C$81:C113)&lt;20000,OR(COUNTIF(T$81:T113,G113&amp;" "&amp;H113)&gt;0,C113&gt;20000)),"",C113))</f>
        <v/>
      </c>
      <c r="F113" s="10" t="str">
        <f>IF(OR($G113="",W113=""),"",IF(AND(SUMIF(W$81:W113,G113&amp;" "&amp;H113,C$81:C113)&lt;20000,OR(COUNTIF(W$81:W113,G113&amp;" "&amp;H113)&gt;0,C113&gt;20000)),"",C113))</f>
        <v/>
      </c>
      <c r="G113" s="66"/>
      <c r="H113" s="52"/>
      <c r="I113" s="8"/>
      <c r="J113" s="80"/>
      <c r="K113" s="53" t="str">
        <f t="shared" si="252"/>
        <v/>
      </c>
      <c r="L113" s="8"/>
      <c r="M113" s="67" t="str">
        <f>IF(G113="","",'Vereine - Clubs'!$E$28)</f>
        <v/>
      </c>
      <c r="N113" s="40"/>
      <c r="O113" s="43" t="str">
        <f t="shared" si="253"/>
        <v/>
      </c>
      <c r="P113" s="39"/>
      <c r="Q113" s="39"/>
      <c r="R113" s="40"/>
      <c r="S113" s="51" t="str">
        <f>IF(G113="","",
IF(OR(VLOOKUP(M113,'Vereine - Clubs'!E:H,4,0)="Nein",VLOOKUP(M113,'Vereine - Clubs'!E:H,4,0)="No",VLOOKUP(M113,'Vereine - Clubs'!E:H,4,0)="",VLOOKUP(M113,'Vereine - Clubs'!E:H,4,0)="nein",VLOOKUP(M113,'Vereine - Clubs'!E:H,4,0)="no",VLOOKUP(M113,'Vereine - Clubs'!E:H,4,0)=""),"","x"))</f>
        <v/>
      </c>
      <c r="T113" s="66" t="str">
        <f>IF(COUNTIF(T$81:T112,G113&amp;" "&amp;H113)=0,"",VLOOKUP(G113&amp;" "&amp;H113,$AA$5:$AC$80,3,FALSE))</f>
        <v/>
      </c>
      <c r="U113" s="53" t="str">
        <f t="shared" ref="U113:U144" si="259">IF(T113="","",IF(OR(T113="Freimeldung",T113="searching for partner",T113="x-partner"),K113,
IF(ISERROR(VLOOKUP(T113,$F$5:$AT$80,1,0)),"",IF(OR(K113="---",VLOOKUP(T113,$F$5:$X$80,6,0)="---"),"",
MAX(11,IF($K113="",19,$K113),IF(VLOOKUP(T113,$F$5:$X$80,6,0)="",19,VLOOKUP(T113,$F$5:$X$80,6,0)))))))</f>
        <v/>
      </c>
      <c r="V113" s="53" t="str">
        <f t="shared" si="254"/>
        <v/>
      </c>
      <c r="W113" s="52" t="str">
        <f>IF(COUNTIF(W$81:W112,G113&amp;" "&amp;H113)=0,"",VLOOKUP(G113&amp;" "&amp;H113,$AB$5:$AC$80,2,FALSE))</f>
        <v/>
      </c>
      <c r="X113" s="53" t="str">
        <f t="shared" si="257"/>
        <v/>
      </c>
      <c r="Y113" s="54" t="str">
        <f t="shared" si="255"/>
        <v/>
      </c>
      <c r="Z113" s="21" t="str">
        <f>IF(T113="","",IF(OR(T113="searching for partner",T113="Freimeldung",T113="x-partner"),"",IF(ISERROR(VLOOKUP(T113,$F$5:$AT$80,1,0)),IF(Englisch&lt;&gt;"","Please add double partner as participant.     ","Doppelpartner/in bitte noch als Teilnehmer eintragen.     "),IF(VLOOKUP(T113,$F$5:$R$80,4,0)=I113,"",IF(Englisch&lt;&gt;"","Wrong doubles partner     ","Falsche/r Doppelpartner/in     ")))))
&amp;IF(W113="","",IF(OR(W113="searching for partner",W113="Freimeldung",W113="x-partner"),"",IF(ISERROR(VLOOKUP(W113,$F$5:$AT$80,1,0)),IF(Englisch&lt;&gt;"","Please add mixed partner as participant     ","Mixedpartner/in bitte noch als Teilnehmer eintragen.     "),IF(VLOOKUP(W113,$F$5:$R$80,4,0)&lt;&gt;I113,"",IF(Englisch&lt;&gt;"","Wrong mixed partner.     ","Falsche/r Mixedpartner/in     ")))))
&amp;IF(AND(L113&lt;&gt;"",L113&lt;&gt;"A",L113&lt;&gt;"B",L113&lt;&gt;"C",L113&lt;&gt;"D"),IF(Englisch&lt;&gt;"","There is level A,B and C.   ","Dieses Jahr gibt es A-, B- und C-Klassen. Bitte korrigieren.   "),"")
&amp;
IF(AND(L113="B",OR(K113=911)),IF(Englisch&lt;&gt;"","There ist no level B in this age group. Please play in A.   ","In dieser Altersklasse keine B-Klasse. Bitte spiele in A.  "),"")&amp;
IF(AND(L113="A",OR(K113=915,K113=917,K113=919)),IF(Englisch&lt;&gt;"","There ist no level A in this age group. Please play in B.   ","In dieser Altersklasse keine A-Klasse. Bitte spiele in B.  "),"")
&amp;
IF(AND(M113&lt;&gt;"",COUNTIF('Vereine - Clubs'!$E$28:$E$47,M113)=0),IF(Englisch&lt;&gt;"","Please check club   ","Bitte den Verein überprüfen.   "),"")
&amp;
IF(AND(N113="",OR(AND(K113=11,L113="a"),AND(K113=13,L113="a"))),IFERROR(IF(VLOOKUP(M113,Vereine,4,0)="Nein","",IF(Englisch&lt;&gt;"","Please fill in turnier.de player ID   ","Bitte Spielernummer Turnier.de eintragen.   ")),""),"")
&amp;
IF(M113="","",IF(AND(VLOOKUP(M113,'Vereine - Clubs'!$E:$H,4,0)="Nein",'Teilnehmende - Starters'!S113="x"),IF(Englisch&lt;&gt;"","You can enter singles only if you pay for them.    ","EInzelteilnahme nur bei Übernahme der Bezahlung möglich.    "),""))
&amp;
IF(AND($L113="",$G113&lt;&gt;"",OR($N113&lt;&gt;"",$T113&lt;&gt;"",$W113&lt;&gt;"")),IF(Englisch&lt;&gt;"","Please add the level.     ","Bitte Spielklasse ergänzen.     "),"")</f>
        <v/>
      </c>
      <c r="AA113" s="4">
        <f t="shared" ref="AA113:AA144" si="260">IF(AND(T113&lt;&gt;"",C113&lt;100000),1,0)</f>
        <v>0</v>
      </c>
      <c r="AB113" s="4">
        <f t="shared" ref="AB113:AB144" si="261">IF(AND(W113&lt;&gt;"",C113&lt;100000),1,0)</f>
        <v>0</v>
      </c>
    </row>
    <row r="114" spans="1:28" ht="15" customHeight="1" x14ac:dyDescent="0.3">
      <c r="A114" s="91" t="str">
        <f t="shared" si="251"/>
        <v/>
      </c>
      <c r="B114" s="10" t="str">
        <f>IF(G114="","",MAX(B$1:B113)+1)</f>
        <v/>
      </c>
      <c r="C114" s="10" t="str">
        <f>IF(B114="","",SUMIF('Vereine - Clubs'!$E$28:$E$47,M114,'Vereine - Clubs'!$C$28:$C$47)*100+B114)</f>
        <v/>
      </c>
      <c r="D114" s="10" t="str">
        <f t="shared" si="258"/>
        <v/>
      </c>
      <c r="E114" s="10" t="str">
        <f>IF(OR($G114="",T114=""),"",IF(AND(SUMIF(T$81:T114,G114&amp;" "&amp;H114,C$81:C114)&lt;20000,OR(COUNTIF(T$81:T114,G114&amp;" "&amp;H114)&gt;0,C114&gt;20000)),"",C114))</f>
        <v/>
      </c>
      <c r="F114" s="10" t="str">
        <f>IF(OR($G114="",W114=""),"",IF(AND(SUMIF(W$81:W114,G114&amp;" "&amp;H114,C$81:C114)&lt;20000,OR(COUNTIF(W$81:W114,G114&amp;" "&amp;H114)&gt;0,C114&gt;20000)),"",C114))</f>
        <v/>
      </c>
      <c r="G114" s="66"/>
      <c r="H114" s="52"/>
      <c r="I114" s="8"/>
      <c r="J114" s="80"/>
      <c r="K114" s="53" t="str">
        <f t="shared" si="252"/>
        <v/>
      </c>
      <c r="L114" s="8"/>
      <c r="M114" s="67" t="str">
        <f>IF(G114="","",'Vereine - Clubs'!$E$28)</f>
        <v/>
      </c>
      <c r="N114" s="40"/>
      <c r="O114" s="43" t="str">
        <f t="shared" si="253"/>
        <v/>
      </c>
      <c r="P114" s="39"/>
      <c r="Q114" s="39"/>
      <c r="R114" s="40"/>
      <c r="S114" s="51" t="str">
        <f>IF(G114="","",
IF(OR(VLOOKUP(M114,'Vereine - Clubs'!E:H,4,0)="Nein",VLOOKUP(M114,'Vereine - Clubs'!E:H,4,0)="No",VLOOKUP(M114,'Vereine - Clubs'!E:H,4,0)="",VLOOKUP(M114,'Vereine - Clubs'!E:H,4,0)="nein",VLOOKUP(M114,'Vereine - Clubs'!E:H,4,0)="no",VLOOKUP(M114,'Vereine - Clubs'!E:H,4,0)=""),"","x"))</f>
        <v/>
      </c>
      <c r="T114" s="66" t="str">
        <f>IF(COUNTIF(T$81:T113,G114&amp;" "&amp;H114)=0,"",VLOOKUP(G114&amp;" "&amp;H114,$AA$5:$AC$80,3,FALSE))</f>
        <v/>
      </c>
      <c r="U114" s="53" t="str">
        <f t="shared" si="259"/>
        <v/>
      </c>
      <c r="V114" s="53" t="str">
        <f t="shared" si="254"/>
        <v/>
      </c>
      <c r="W114" s="52" t="str">
        <f>IF(COUNTIF(W$81:W113,G114&amp;" "&amp;H114)=0,"",VLOOKUP(G114&amp;" "&amp;H114,$AB$5:$AC$80,2,FALSE))</f>
        <v/>
      </c>
      <c r="X114" s="53" t="str">
        <f t="shared" si="257"/>
        <v/>
      </c>
      <c r="Y114" s="54" t="str">
        <f t="shared" si="255"/>
        <v/>
      </c>
      <c r="Z114" s="21" t="str">
        <f>IF(T114="","",IF(OR(T114="searching for partner",T114="Freimeldung",T114="x-partner"),"",IF(ISERROR(VLOOKUP(T114,$F$5:$AT$80,1,0)),IF(Englisch&lt;&gt;"","Please add double partner as participant.     ","Doppelpartner/in bitte noch als Teilnehmer eintragen.     "),IF(VLOOKUP(T114,$F$5:$R$80,4,0)=I114,"",IF(Englisch&lt;&gt;"","Wrong doubles partner     ","Falsche/r Doppelpartner/in     ")))))
&amp;IF(W114="","",IF(OR(W114="searching for partner",W114="Freimeldung",W114="x-partner"),"",IF(ISERROR(VLOOKUP(W114,$F$5:$AT$80,1,0)),IF(Englisch&lt;&gt;"","Please add mixed partner as participant     ","Mixedpartner/in bitte noch als Teilnehmer eintragen.     "),IF(VLOOKUP(W114,$F$5:$R$80,4,0)&lt;&gt;I114,"",IF(Englisch&lt;&gt;"","Wrong mixed partner.     ","Falsche/r Mixedpartner/in     ")))))
&amp;IF(AND(L114&lt;&gt;"",L114&lt;&gt;"A",L114&lt;&gt;"B",L114&lt;&gt;"C",L114&lt;&gt;"D"),IF(Englisch&lt;&gt;"","There is level A,B and C.   ","Dieses Jahr gibt es A-, B- und C-Klassen. Bitte korrigieren.   "),"")
&amp;
IF(AND(L114="B",OR(K114=911)),IF(Englisch&lt;&gt;"","There ist no level B in this age group. Please play in A.   ","In dieser Altersklasse keine B-Klasse. Bitte spiele in A.  "),"")&amp;
IF(AND(L114="A",OR(K114=915,K114=917,K114=919)),IF(Englisch&lt;&gt;"","There ist no level A in this age group. Please play in B.   ","In dieser Altersklasse keine A-Klasse. Bitte spiele in B.  "),"")
&amp;
IF(AND(M114&lt;&gt;"",COUNTIF('Vereine - Clubs'!$E$28:$E$47,M114)=0),IF(Englisch&lt;&gt;"","Please check club   ","Bitte den Verein überprüfen.   "),"")
&amp;
IF(AND(N114="",OR(AND(K114=11,L114="a"),AND(K114=13,L114="a"))),IFERROR(IF(VLOOKUP(M114,Vereine,4,0)="Nein","",IF(Englisch&lt;&gt;"","Please fill in turnier.de player ID   ","Bitte Spielernummer Turnier.de eintragen.   ")),""),"")
&amp;
IF(M114="","",IF(AND(VLOOKUP(M114,'Vereine - Clubs'!$E:$H,4,0)="Nein",'Teilnehmende - Starters'!S114="x"),IF(Englisch&lt;&gt;"","You can enter singles only if you pay for them.    ","EInzelteilnahme nur bei Übernahme der Bezahlung möglich.    "),""))
&amp;
IF(AND($L114="",$G114&lt;&gt;"",OR($N114&lt;&gt;"",$T114&lt;&gt;"",$W114&lt;&gt;"")),IF(Englisch&lt;&gt;"","Please add the level.     ","Bitte Spielklasse ergänzen.     "),"")</f>
        <v/>
      </c>
      <c r="AA114" s="4">
        <f t="shared" si="260"/>
        <v>0</v>
      </c>
      <c r="AB114" s="4">
        <f t="shared" si="261"/>
        <v>0</v>
      </c>
    </row>
    <row r="115" spans="1:28" ht="15" customHeight="1" x14ac:dyDescent="0.3">
      <c r="A115" s="91" t="str">
        <f t="shared" si="251"/>
        <v/>
      </c>
      <c r="B115" s="10" t="str">
        <f>IF(G115="","",MAX(B$1:B114)+1)</f>
        <v/>
      </c>
      <c r="C115" s="10" t="str">
        <f>IF(B115="","",SUMIF('Vereine - Clubs'!$E$28:$E$47,M115,'Vereine - Clubs'!$C$28:$C$47)*100+B115)</f>
        <v/>
      </c>
      <c r="D115" s="10" t="str">
        <f t="shared" si="258"/>
        <v/>
      </c>
      <c r="E115" s="10" t="str">
        <f>IF(OR($G115="",T115=""),"",IF(AND(SUMIF(T$81:T115,G115&amp;" "&amp;H115,C$81:C115)&lt;20000,OR(COUNTIF(T$81:T115,G115&amp;" "&amp;H115)&gt;0,C115&gt;20000)),"",C115))</f>
        <v/>
      </c>
      <c r="F115" s="10" t="str">
        <f>IF(OR($G115="",W115=""),"",IF(AND(SUMIF(W$81:W115,G115&amp;" "&amp;H115,C$81:C115)&lt;20000,OR(COUNTIF(W$81:W115,G115&amp;" "&amp;H115)&gt;0,C115&gt;20000)),"",C115))</f>
        <v/>
      </c>
      <c r="G115" s="66"/>
      <c r="H115" s="52"/>
      <c r="I115" s="8"/>
      <c r="J115" s="80"/>
      <c r="K115" s="53" t="str">
        <f t="shared" si="252"/>
        <v/>
      </c>
      <c r="L115" s="8"/>
      <c r="M115" s="67" t="str">
        <f>IF(G115="","",'Vereine - Clubs'!$E$28)</f>
        <v/>
      </c>
      <c r="N115" s="40"/>
      <c r="O115" s="43" t="str">
        <f t="shared" si="253"/>
        <v/>
      </c>
      <c r="P115" s="39"/>
      <c r="Q115" s="39"/>
      <c r="R115" s="40"/>
      <c r="S115" s="51" t="str">
        <f>IF(G115="","",
IF(OR(VLOOKUP(M115,'Vereine - Clubs'!E:H,4,0)="Nein",VLOOKUP(M115,'Vereine - Clubs'!E:H,4,0)="No",VLOOKUP(M115,'Vereine - Clubs'!E:H,4,0)="",VLOOKUP(M115,'Vereine - Clubs'!E:H,4,0)="nein",VLOOKUP(M115,'Vereine - Clubs'!E:H,4,0)="no",VLOOKUP(M115,'Vereine - Clubs'!E:H,4,0)=""),"","x"))</f>
        <v/>
      </c>
      <c r="T115" s="66" t="str">
        <f>IF(COUNTIF(T$81:T114,G115&amp;" "&amp;H115)=0,"",VLOOKUP(G115&amp;" "&amp;H115,$AA$5:$AC$80,3,FALSE))</f>
        <v/>
      </c>
      <c r="U115" s="53" t="str">
        <f t="shared" si="259"/>
        <v/>
      </c>
      <c r="V115" s="53" t="str">
        <f t="shared" si="254"/>
        <v/>
      </c>
      <c r="W115" s="52" t="str">
        <f>IF(COUNTIF(W$81:W114,G115&amp;" "&amp;H115)=0,"",VLOOKUP(G115&amp;" "&amp;H115,$AB$5:$AC$80,2,FALSE))</f>
        <v/>
      </c>
      <c r="X115" s="53" t="str">
        <f t="shared" si="257"/>
        <v/>
      </c>
      <c r="Y115" s="54" t="str">
        <f t="shared" si="255"/>
        <v/>
      </c>
      <c r="Z115" s="21" t="str">
        <f>IF(T115="","",IF(OR(T115="searching for partner",T115="Freimeldung",T115="x-partner"),"",IF(ISERROR(VLOOKUP(T115,$F$5:$AT$80,1,0)),IF(Englisch&lt;&gt;"","Please add double partner as participant.     ","Doppelpartner/in bitte noch als Teilnehmer eintragen.     "),IF(VLOOKUP(T115,$F$5:$R$80,4,0)=I115,"",IF(Englisch&lt;&gt;"","Wrong doubles partner     ","Falsche/r Doppelpartner/in     ")))))
&amp;IF(W115="","",IF(OR(W115="searching for partner",W115="Freimeldung",W115="x-partner"),"",IF(ISERROR(VLOOKUP(W115,$F$5:$AT$80,1,0)),IF(Englisch&lt;&gt;"","Please add mixed partner as participant     ","Mixedpartner/in bitte noch als Teilnehmer eintragen.     "),IF(VLOOKUP(W115,$F$5:$R$80,4,0)&lt;&gt;I115,"",IF(Englisch&lt;&gt;"","Wrong mixed partner.     ","Falsche/r Mixedpartner/in     ")))))
&amp;IF(AND(L115&lt;&gt;"",L115&lt;&gt;"A",L115&lt;&gt;"B",L115&lt;&gt;"C",L115&lt;&gt;"D"),IF(Englisch&lt;&gt;"","There is level A,B and C.   ","Dieses Jahr gibt es A-, B- und C-Klassen. Bitte korrigieren.   "),"")
&amp;
IF(AND(L115="B",OR(K115=911)),IF(Englisch&lt;&gt;"","There ist no level B in this age group. Please play in A.   ","In dieser Altersklasse keine B-Klasse. Bitte spiele in A.  "),"")&amp;
IF(AND(L115="A",OR(K115=915,K115=917,K115=919)),IF(Englisch&lt;&gt;"","There ist no level A in this age group. Please play in B.   ","In dieser Altersklasse keine A-Klasse. Bitte spiele in B.  "),"")
&amp;
IF(AND(M115&lt;&gt;"",COUNTIF('Vereine - Clubs'!$E$28:$E$47,M115)=0),IF(Englisch&lt;&gt;"","Please check club   ","Bitte den Verein überprüfen.   "),"")
&amp;
IF(AND(N115="",OR(AND(K115=11,L115="a"),AND(K115=13,L115="a"))),IFERROR(IF(VLOOKUP(M115,Vereine,4,0)="Nein","",IF(Englisch&lt;&gt;"","Please fill in turnier.de player ID   ","Bitte Spielernummer Turnier.de eintragen.   ")),""),"")
&amp;
IF(M115="","",IF(AND(VLOOKUP(M115,'Vereine - Clubs'!$E:$H,4,0)="Nein",'Teilnehmende - Starters'!S115="x"),IF(Englisch&lt;&gt;"","You can enter singles only if you pay for them.    ","EInzelteilnahme nur bei Übernahme der Bezahlung möglich.    "),""))
&amp;
IF(AND($L115="",$G115&lt;&gt;"",OR($N115&lt;&gt;"",$T115&lt;&gt;"",$W115&lt;&gt;"")),IF(Englisch&lt;&gt;"","Please add the level.     ","Bitte Spielklasse ergänzen.     "),"")</f>
        <v/>
      </c>
      <c r="AA115" s="4">
        <f t="shared" si="260"/>
        <v>0</v>
      </c>
      <c r="AB115" s="4">
        <f t="shared" si="261"/>
        <v>0</v>
      </c>
    </row>
    <row r="116" spans="1:28" ht="15" customHeight="1" x14ac:dyDescent="0.3">
      <c r="A116" s="91" t="str">
        <f t="shared" si="251"/>
        <v/>
      </c>
      <c r="B116" s="10" t="str">
        <f>IF(G116="","",MAX(B$1:B115)+1)</f>
        <v/>
      </c>
      <c r="C116" s="10" t="str">
        <f>IF(B116="","",SUMIF('Vereine - Clubs'!$E$28:$E$47,M116,'Vereine - Clubs'!$C$28:$C$47)*100+B116)</f>
        <v/>
      </c>
      <c r="D116" s="10" t="str">
        <f t="shared" si="258"/>
        <v/>
      </c>
      <c r="E116" s="10" t="str">
        <f>IF(OR($G116="",T116=""),"",IF(AND(SUMIF(T$81:T116,G116&amp;" "&amp;H116,C$81:C116)&lt;20000,OR(COUNTIF(T$81:T116,G116&amp;" "&amp;H116)&gt;0,C116&gt;20000)),"",C116))</f>
        <v/>
      </c>
      <c r="F116" s="10" t="str">
        <f>IF(OR($G116="",W116=""),"",IF(AND(SUMIF(W$81:W116,G116&amp;" "&amp;H116,C$81:C116)&lt;20000,OR(COUNTIF(W$81:W116,G116&amp;" "&amp;H116)&gt;0,C116&gt;20000)),"",C116))</f>
        <v/>
      </c>
      <c r="G116" s="66"/>
      <c r="H116" s="52"/>
      <c r="I116" s="8"/>
      <c r="J116" s="80"/>
      <c r="K116" s="53" t="str">
        <f t="shared" si="252"/>
        <v/>
      </c>
      <c r="L116" s="8"/>
      <c r="M116" s="67" t="str">
        <f>IF(G116="","",'Vereine - Clubs'!$E$28)</f>
        <v/>
      </c>
      <c r="N116" s="40"/>
      <c r="O116" s="43" t="str">
        <f t="shared" si="253"/>
        <v/>
      </c>
      <c r="P116" s="39"/>
      <c r="Q116" s="39"/>
      <c r="R116" s="40"/>
      <c r="S116" s="51" t="str">
        <f>IF(G116="","",
IF(OR(VLOOKUP(M116,'Vereine - Clubs'!E:H,4,0)="Nein",VLOOKUP(M116,'Vereine - Clubs'!E:H,4,0)="No",VLOOKUP(M116,'Vereine - Clubs'!E:H,4,0)="",VLOOKUP(M116,'Vereine - Clubs'!E:H,4,0)="nein",VLOOKUP(M116,'Vereine - Clubs'!E:H,4,0)="no",VLOOKUP(M116,'Vereine - Clubs'!E:H,4,0)=""),"","x"))</f>
        <v/>
      </c>
      <c r="T116" s="66" t="str">
        <f>IF(COUNTIF(T$81:T115,G116&amp;" "&amp;H116)=0,"",VLOOKUP(G116&amp;" "&amp;H116,$AA$5:$AC$80,3,FALSE))</f>
        <v/>
      </c>
      <c r="U116" s="53" t="str">
        <f t="shared" si="259"/>
        <v/>
      </c>
      <c r="V116" s="53" t="str">
        <f t="shared" si="254"/>
        <v/>
      </c>
      <c r="W116" s="52" t="str">
        <f>IF(COUNTIF(W$81:W115,G116&amp;" "&amp;H116)=0,"",VLOOKUP(G116&amp;" "&amp;H116,$AB$5:$AC$80,2,FALSE))</f>
        <v/>
      </c>
      <c r="X116" s="53" t="str">
        <f t="shared" si="257"/>
        <v/>
      </c>
      <c r="Y116" s="54" t="str">
        <f t="shared" si="255"/>
        <v/>
      </c>
      <c r="Z116" s="21" t="str">
        <f>IF(T116="","",IF(OR(T116="searching for partner",T116="Freimeldung",T116="x-partner"),"",IF(ISERROR(VLOOKUP(T116,$F$5:$AT$80,1,0)),IF(Englisch&lt;&gt;"","Please add double partner as participant.     ","Doppelpartner/in bitte noch als Teilnehmer eintragen.     "),IF(VLOOKUP(T116,$F$5:$R$80,4,0)=I116,"",IF(Englisch&lt;&gt;"","Wrong doubles partner     ","Falsche/r Doppelpartner/in     ")))))
&amp;IF(W116="","",IF(OR(W116="searching for partner",W116="Freimeldung",W116="x-partner"),"",IF(ISERROR(VLOOKUP(W116,$F$5:$AT$80,1,0)),IF(Englisch&lt;&gt;"","Please add mixed partner as participant     ","Mixedpartner/in bitte noch als Teilnehmer eintragen.     "),IF(VLOOKUP(W116,$F$5:$R$80,4,0)&lt;&gt;I116,"",IF(Englisch&lt;&gt;"","Wrong mixed partner.     ","Falsche/r Mixedpartner/in     ")))))
&amp;IF(AND(L116&lt;&gt;"",L116&lt;&gt;"A",L116&lt;&gt;"B",L116&lt;&gt;"C",L116&lt;&gt;"D"),IF(Englisch&lt;&gt;"","There is level A,B and C.   ","Dieses Jahr gibt es A-, B- und C-Klassen. Bitte korrigieren.   "),"")
&amp;
IF(AND(L116="B",OR(K116=911)),IF(Englisch&lt;&gt;"","There ist no level B in this age group. Please play in A.   ","In dieser Altersklasse keine B-Klasse. Bitte spiele in A.  "),"")&amp;
IF(AND(L116="A",OR(K116=915,K116=917,K116=919)),IF(Englisch&lt;&gt;"","There ist no level A in this age group. Please play in B.   ","In dieser Altersklasse keine A-Klasse. Bitte spiele in B.  "),"")
&amp;
IF(AND(M116&lt;&gt;"",COUNTIF('Vereine - Clubs'!$E$28:$E$47,M116)=0),IF(Englisch&lt;&gt;"","Please check club   ","Bitte den Verein überprüfen.   "),"")
&amp;
IF(AND(N116="",OR(AND(K116=11,L116="a"),AND(K116=13,L116="a"))),IFERROR(IF(VLOOKUP(M116,Vereine,4,0)="Nein","",IF(Englisch&lt;&gt;"","Please fill in turnier.de player ID   ","Bitte Spielernummer Turnier.de eintragen.   ")),""),"")
&amp;
IF(M116="","",IF(AND(VLOOKUP(M116,'Vereine - Clubs'!$E:$H,4,0)="Nein",'Teilnehmende - Starters'!S116="x"),IF(Englisch&lt;&gt;"","You can enter singles only if you pay for them.    ","EInzelteilnahme nur bei Übernahme der Bezahlung möglich.    "),""))
&amp;
IF(AND($L116="",$G116&lt;&gt;"",OR($N116&lt;&gt;"",$T116&lt;&gt;"",$W116&lt;&gt;"")),IF(Englisch&lt;&gt;"","Please add the level.     ","Bitte Spielklasse ergänzen.     "),"")</f>
        <v/>
      </c>
      <c r="AA116" s="4">
        <f t="shared" si="260"/>
        <v>0</v>
      </c>
      <c r="AB116" s="4">
        <f t="shared" si="261"/>
        <v>0</v>
      </c>
    </row>
    <row r="117" spans="1:28" ht="15" customHeight="1" x14ac:dyDescent="0.3">
      <c r="A117" s="91" t="str">
        <f t="shared" si="251"/>
        <v/>
      </c>
      <c r="B117" s="10" t="str">
        <f>IF(G117="","",MAX(B$1:B116)+1)</f>
        <v/>
      </c>
      <c r="C117" s="10" t="str">
        <f>IF(B117="","",SUMIF('Vereine - Clubs'!$E$28:$E$47,M117,'Vereine - Clubs'!$C$28:$C$47)*100+B117)</f>
        <v/>
      </c>
      <c r="D117" s="10" t="str">
        <f t="shared" si="258"/>
        <v/>
      </c>
      <c r="E117" s="10" t="str">
        <f>IF(OR($G117="",T117=""),"",IF(AND(SUMIF(T$81:T117,G117&amp;" "&amp;H117,C$81:C117)&lt;20000,OR(COUNTIF(T$81:T117,G117&amp;" "&amp;H117)&gt;0,C117&gt;20000)),"",C117))</f>
        <v/>
      </c>
      <c r="F117" s="10" t="str">
        <f>IF(OR($G117="",W117=""),"",IF(AND(SUMIF(W$81:W117,G117&amp;" "&amp;H117,C$81:C117)&lt;20000,OR(COUNTIF(W$81:W117,G117&amp;" "&amp;H117)&gt;0,C117&gt;20000)),"",C117))</f>
        <v/>
      </c>
      <c r="G117" s="66"/>
      <c r="H117" s="52"/>
      <c r="I117" s="8"/>
      <c r="J117" s="80"/>
      <c r="K117" s="53" t="str">
        <f t="shared" si="252"/>
        <v/>
      </c>
      <c r="L117" s="8"/>
      <c r="M117" s="67" t="str">
        <f>IF(G117="","",'Vereine - Clubs'!$E$28)</f>
        <v/>
      </c>
      <c r="N117" s="40"/>
      <c r="O117" s="43" t="str">
        <f t="shared" si="253"/>
        <v/>
      </c>
      <c r="P117" s="39"/>
      <c r="Q117" s="39"/>
      <c r="R117" s="40"/>
      <c r="S117" s="51" t="str">
        <f>IF(G117="","",
IF(OR(VLOOKUP(M117,'Vereine - Clubs'!E:H,4,0)="Nein",VLOOKUP(M117,'Vereine - Clubs'!E:H,4,0)="No",VLOOKUP(M117,'Vereine - Clubs'!E:H,4,0)="",VLOOKUP(M117,'Vereine - Clubs'!E:H,4,0)="nein",VLOOKUP(M117,'Vereine - Clubs'!E:H,4,0)="no",VLOOKUP(M117,'Vereine - Clubs'!E:H,4,0)=""),"","x"))</f>
        <v/>
      </c>
      <c r="T117" s="66" t="str">
        <f>IF(COUNTIF(T$81:T116,G117&amp;" "&amp;H117)=0,"",VLOOKUP(G117&amp;" "&amp;H117,$AA$5:$AC$80,3,FALSE))</f>
        <v/>
      </c>
      <c r="U117" s="53" t="str">
        <f t="shared" si="259"/>
        <v/>
      </c>
      <c r="V117" s="53" t="str">
        <f t="shared" si="254"/>
        <v/>
      </c>
      <c r="W117" s="52" t="str">
        <f>IF(COUNTIF(W$81:W116,G117&amp;" "&amp;H117)=0,"",VLOOKUP(G117&amp;" "&amp;H117,$AB$5:$AC$80,2,FALSE))</f>
        <v/>
      </c>
      <c r="X117" s="53" t="str">
        <f t="shared" si="257"/>
        <v/>
      </c>
      <c r="Y117" s="54" t="str">
        <f t="shared" si="255"/>
        <v/>
      </c>
      <c r="Z117" s="21" t="str">
        <f>IF(T117="","",IF(OR(T117="searching for partner",T117="Freimeldung",T117="x-partner"),"",IF(ISERROR(VLOOKUP(T117,$F$5:$AT$80,1,0)),IF(Englisch&lt;&gt;"","Please add double partner as participant.     ","Doppelpartner/in bitte noch als Teilnehmer eintragen.     "),IF(VLOOKUP(T117,$F$5:$R$80,4,0)=I117,"",IF(Englisch&lt;&gt;"","Wrong doubles partner     ","Falsche/r Doppelpartner/in     ")))))
&amp;IF(W117="","",IF(OR(W117="searching for partner",W117="Freimeldung",W117="x-partner"),"",IF(ISERROR(VLOOKUP(W117,$F$5:$AT$80,1,0)),IF(Englisch&lt;&gt;"","Please add mixed partner as participant     ","Mixedpartner/in bitte noch als Teilnehmer eintragen.     "),IF(VLOOKUP(W117,$F$5:$R$80,4,0)&lt;&gt;I117,"",IF(Englisch&lt;&gt;"","Wrong mixed partner.     ","Falsche/r Mixedpartner/in     ")))))
&amp;IF(AND(L117&lt;&gt;"",L117&lt;&gt;"A",L117&lt;&gt;"B",L117&lt;&gt;"C",L117&lt;&gt;"D"),IF(Englisch&lt;&gt;"","There is level A,B and C.   ","Dieses Jahr gibt es A-, B- und C-Klassen. Bitte korrigieren.   "),"")
&amp;
IF(AND(L117="B",OR(K117=911)),IF(Englisch&lt;&gt;"","There ist no level B in this age group. Please play in A.   ","In dieser Altersklasse keine B-Klasse. Bitte spiele in A.  "),"")&amp;
IF(AND(L117="A",OR(K117=915,K117=917,K117=919)),IF(Englisch&lt;&gt;"","There ist no level A in this age group. Please play in B.   ","In dieser Altersklasse keine A-Klasse. Bitte spiele in B.  "),"")
&amp;
IF(AND(M117&lt;&gt;"",COUNTIF('Vereine - Clubs'!$E$28:$E$47,M117)=0),IF(Englisch&lt;&gt;"","Please check club   ","Bitte den Verein überprüfen.   "),"")
&amp;
IF(AND(N117="",OR(AND(K117=11,L117="a"),AND(K117=13,L117="a"))),IFERROR(IF(VLOOKUP(M117,Vereine,4,0)="Nein","",IF(Englisch&lt;&gt;"","Please fill in turnier.de player ID   ","Bitte Spielernummer Turnier.de eintragen.   ")),""),"")
&amp;
IF(M117="","",IF(AND(VLOOKUP(M117,'Vereine - Clubs'!$E:$H,4,0)="Nein",'Teilnehmende - Starters'!S117="x"),IF(Englisch&lt;&gt;"","You can enter singles only if you pay for them.    ","EInzelteilnahme nur bei Übernahme der Bezahlung möglich.    "),""))
&amp;
IF(AND($L117="",$G117&lt;&gt;"",OR($N117&lt;&gt;"",$T117&lt;&gt;"",$W117&lt;&gt;"")),IF(Englisch&lt;&gt;"","Please add the level.     ","Bitte Spielklasse ergänzen.     "),"")</f>
        <v/>
      </c>
      <c r="AA117" s="4">
        <f t="shared" si="260"/>
        <v>0</v>
      </c>
      <c r="AB117" s="4">
        <f t="shared" si="261"/>
        <v>0</v>
      </c>
    </row>
    <row r="118" spans="1:28" ht="15" customHeight="1" x14ac:dyDescent="0.3">
      <c r="A118" s="91" t="str">
        <f t="shared" si="251"/>
        <v/>
      </c>
      <c r="B118" s="10" t="str">
        <f>IF(G118="","",MAX(B$1:B117)+1)</f>
        <v/>
      </c>
      <c r="C118" s="10" t="str">
        <f>IF(B118="","",SUMIF('Vereine - Clubs'!$E$28:$E$47,M118,'Vereine - Clubs'!$C$28:$C$47)*100+B118)</f>
        <v/>
      </c>
      <c r="D118" s="10" t="str">
        <f t="shared" si="258"/>
        <v/>
      </c>
      <c r="E118" s="10" t="str">
        <f>IF(OR($G118="",T118=""),"",IF(AND(SUMIF(T$81:T118,G118&amp;" "&amp;H118,C$81:C118)&lt;20000,OR(COUNTIF(T$81:T118,G118&amp;" "&amp;H118)&gt;0,C118&gt;20000)),"",C118))</f>
        <v/>
      </c>
      <c r="F118" s="10" t="str">
        <f>IF(OR($G118="",W118=""),"",IF(AND(SUMIF(W$81:W118,G118&amp;" "&amp;H118,C$81:C118)&lt;20000,OR(COUNTIF(W$81:W118,G118&amp;" "&amp;H118)&gt;0,C118&gt;20000)),"",C118))</f>
        <v/>
      </c>
      <c r="G118" s="66"/>
      <c r="H118" s="52"/>
      <c r="I118" s="8"/>
      <c r="J118" s="80"/>
      <c r="K118" s="53" t="str">
        <f t="shared" si="252"/>
        <v/>
      </c>
      <c r="L118" s="8"/>
      <c r="M118" s="67" t="str">
        <f>IF(G118="","",'Vereine - Clubs'!$E$28)</f>
        <v/>
      </c>
      <c r="N118" s="40"/>
      <c r="O118" s="43" t="str">
        <f t="shared" si="253"/>
        <v/>
      </c>
      <c r="P118" s="39"/>
      <c r="Q118" s="39"/>
      <c r="R118" s="40"/>
      <c r="S118" s="51" t="str">
        <f>IF(G118="","",
IF(OR(VLOOKUP(M118,'Vereine - Clubs'!E:H,4,0)="Nein",VLOOKUP(M118,'Vereine - Clubs'!E:H,4,0)="No",VLOOKUP(M118,'Vereine - Clubs'!E:H,4,0)="",VLOOKUP(M118,'Vereine - Clubs'!E:H,4,0)="nein",VLOOKUP(M118,'Vereine - Clubs'!E:H,4,0)="no",VLOOKUP(M118,'Vereine - Clubs'!E:H,4,0)=""),"","x"))</f>
        <v/>
      </c>
      <c r="T118" s="66" t="str">
        <f>IF(COUNTIF(T$81:T117,G118&amp;" "&amp;H118)=0,"",VLOOKUP(G118&amp;" "&amp;H118,$AA$5:$AC$80,3,FALSE))</f>
        <v/>
      </c>
      <c r="U118" s="53" t="str">
        <f t="shared" si="259"/>
        <v/>
      </c>
      <c r="V118" s="53" t="str">
        <f t="shared" si="254"/>
        <v/>
      </c>
      <c r="W118" s="52" t="str">
        <f>IF(COUNTIF(W$81:W117,G118&amp;" "&amp;H118)=0,"",VLOOKUP(G118&amp;" "&amp;H118,$AB$5:$AC$80,2,FALSE))</f>
        <v/>
      </c>
      <c r="X118" s="53" t="str">
        <f t="shared" si="257"/>
        <v/>
      </c>
      <c r="Y118" s="54" t="str">
        <f t="shared" si="255"/>
        <v/>
      </c>
      <c r="Z118" s="21" t="str">
        <f>IF(T118="","",IF(OR(T118="searching for partner",T118="Freimeldung",T118="x-partner"),"",IF(ISERROR(VLOOKUP(T118,$F$5:$AT$80,1,0)),IF(Englisch&lt;&gt;"","Please add double partner as participant.     ","Doppelpartner/in bitte noch als Teilnehmer eintragen.     "),IF(VLOOKUP(T118,$F$5:$R$80,4,0)=I118,"",IF(Englisch&lt;&gt;"","Wrong doubles partner     ","Falsche/r Doppelpartner/in     ")))))
&amp;IF(W118="","",IF(OR(W118="searching for partner",W118="Freimeldung",W118="x-partner"),"",IF(ISERROR(VLOOKUP(W118,$F$5:$AT$80,1,0)),IF(Englisch&lt;&gt;"","Please add mixed partner as participant     ","Mixedpartner/in bitte noch als Teilnehmer eintragen.     "),IF(VLOOKUP(W118,$F$5:$R$80,4,0)&lt;&gt;I118,"",IF(Englisch&lt;&gt;"","Wrong mixed partner.     ","Falsche/r Mixedpartner/in     ")))))
&amp;IF(AND(L118&lt;&gt;"",L118&lt;&gt;"A",L118&lt;&gt;"B",L118&lt;&gt;"C",L118&lt;&gt;"D"),IF(Englisch&lt;&gt;"","There is level A,B and C.   ","Dieses Jahr gibt es A-, B- und C-Klassen. Bitte korrigieren.   "),"")
&amp;
IF(AND(L118="B",OR(K118=911)),IF(Englisch&lt;&gt;"","There ist no level B in this age group. Please play in A.   ","In dieser Altersklasse keine B-Klasse. Bitte spiele in A.  "),"")&amp;
IF(AND(L118="A",OR(K118=915,K118=917,K118=919)),IF(Englisch&lt;&gt;"","There ist no level A in this age group. Please play in B.   ","In dieser Altersklasse keine A-Klasse. Bitte spiele in B.  "),"")
&amp;
IF(AND(M118&lt;&gt;"",COUNTIF('Vereine - Clubs'!$E$28:$E$47,M118)=0),IF(Englisch&lt;&gt;"","Please check club   ","Bitte den Verein überprüfen.   "),"")
&amp;
IF(AND(N118="",OR(AND(K118=11,L118="a"),AND(K118=13,L118="a"))),IFERROR(IF(VLOOKUP(M118,Vereine,4,0)="Nein","",IF(Englisch&lt;&gt;"","Please fill in turnier.de player ID   ","Bitte Spielernummer Turnier.de eintragen.   ")),""),"")
&amp;
IF(M118="","",IF(AND(VLOOKUP(M118,'Vereine - Clubs'!$E:$H,4,0)="Nein",'Teilnehmende - Starters'!S118="x"),IF(Englisch&lt;&gt;"","You can enter singles only if you pay for them.    ","EInzelteilnahme nur bei Übernahme der Bezahlung möglich.    "),""))
&amp;
IF(AND($L118="",$G118&lt;&gt;"",OR($N118&lt;&gt;"",$T118&lt;&gt;"",$W118&lt;&gt;"")),IF(Englisch&lt;&gt;"","Please add the level.     ","Bitte Spielklasse ergänzen.     "),"")</f>
        <v/>
      </c>
      <c r="AA118" s="4">
        <f t="shared" si="260"/>
        <v>0</v>
      </c>
      <c r="AB118" s="4">
        <f t="shared" si="261"/>
        <v>0</v>
      </c>
    </row>
    <row r="119" spans="1:28" ht="15" customHeight="1" x14ac:dyDescent="0.3">
      <c r="A119" s="91" t="str">
        <f t="shared" si="251"/>
        <v/>
      </c>
      <c r="B119" s="10" t="str">
        <f>IF(G119="","",MAX(B$1:B118)+1)</f>
        <v/>
      </c>
      <c r="C119" s="10" t="str">
        <f>IF(B119="","",SUMIF('Vereine - Clubs'!$E$28:$E$47,M119,'Vereine - Clubs'!$C$28:$C$47)*100+B119)</f>
        <v/>
      </c>
      <c r="D119" s="10" t="str">
        <f t="shared" si="258"/>
        <v/>
      </c>
      <c r="E119" s="10" t="str">
        <f>IF(OR($G119="",T119=""),"",IF(AND(SUMIF(T$81:T119,G119&amp;" "&amp;H119,C$81:C119)&lt;20000,OR(COUNTIF(T$81:T119,G119&amp;" "&amp;H119)&gt;0,C119&gt;20000)),"",C119))</f>
        <v/>
      </c>
      <c r="F119" s="10" t="str">
        <f>IF(OR($G119="",W119=""),"",IF(AND(SUMIF(W$81:W119,G119&amp;" "&amp;H119,C$81:C119)&lt;20000,OR(COUNTIF(W$81:W119,G119&amp;" "&amp;H119)&gt;0,C119&gt;20000)),"",C119))</f>
        <v/>
      </c>
      <c r="G119" s="66"/>
      <c r="H119" s="52"/>
      <c r="I119" s="8"/>
      <c r="J119" s="80"/>
      <c r="K119" s="53" t="str">
        <f t="shared" si="252"/>
        <v/>
      </c>
      <c r="L119" s="8"/>
      <c r="M119" s="67" t="str">
        <f>IF(G119="","",'Vereine - Clubs'!$E$28)</f>
        <v/>
      </c>
      <c r="N119" s="40"/>
      <c r="O119" s="43" t="str">
        <f t="shared" si="253"/>
        <v/>
      </c>
      <c r="P119" s="39"/>
      <c r="Q119" s="39"/>
      <c r="R119" s="40"/>
      <c r="S119" s="51" t="str">
        <f>IF(G119="","",
IF(OR(VLOOKUP(M119,'Vereine - Clubs'!E:H,4,0)="Nein",VLOOKUP(M119,'Vereine - Clubs'!E:H,4,0)="No",VLOOKUP(M119,'Vereine - Clubs'!E:H,4,0)="",VLOOKUP(M119,'Vereine - Clubs'!E:H,4,0)="nein",VLOOKUP(M119,'Vereine - Clubs'!E:H,4,0)="no",VLOOKUP(M119,'Vereine - Clubs'!E:H,4,0)=""),"","x"))</f>
        <v/>
      </c>
      <c r="T119" s="66" t="str">
        <f>IF(COUNTIF(T$81:T118,G119&amp;" "&amp;H119)=0,"",VLOOKUP(G119&amp;" "&amp;H119,$AA$5:$AC$80,3,FALSE))</f>
        <v/>
      </c>
      <c r="U119" s="53" t="str">
        <f t="shared" si="259"/>
        <v/>
      </c>
      <c r="V119" s="53" t="str">
        <f t="shared" si="254"/>
        <v/>
      </c>
      <c r="W119" s="52" t="str">
        <f>IF(COUNTIF(W$81:W118,G119&amp;" "&amp;H119)=0,"",VLOOKUP(G119&amp;" "&amp;H119,$AB$5:$AC$80,2,FALSE))</f>
        <v/>
      </c>
      <c r="X119" s="53" t="str">
        <f t="shared" si="257"/>
        <v/>
      </c>
      <c r="Y119" s="54" t="str">
        <f t="shared" si="255"/>
        <v/>
      </c>
      <c r="Z119" s="21" t="str">
        <f>IF(T119="","",IF(OR(T119="searching for partner",T119="Freimeldung",T119="x-partner"),"",IF(ISERROR(VLOOKUP(T119,$F$5:$AT$80,1,0)),IF(Englisch&lt;&gt;"","Please add double partner as participant.     ","Doppelpartner/in bitte noch als Teilnehmer eintragen.     "),IF(VLOOKUP(T119,$F$5:$R$80,4,0)=I119,"",IF(Englisch&lt;&gt;"","Wrong doubles partner     ","Falsche/r Doppelpartner/in     ")))))
&amp;IF(W119="","",IF(OR(W119="searching for partner",W119="Freimeldung",W119="x-partner"),"",IF(ISERROR(VLOOKUP(W119,$F$5:$AT$80,1,0)),IF(Englisch&lt;&gt;"","Please add mixed partner as participant     ","Mixedpartner/in bitte noch als Teilnehmer eintragen.     "),IF(VLOOKUP(W119,$F$5:$R$80,4,0)&lt;&gt;I119,"",IF(Englisch&lt;&gt;"","Wrong mixed partner.     ","Falsche/r Mixedpartner/in     ")))))
&amp;IF(AND(L119&lt;&gt;"",L119&lt;&gt;"A",L119&lt;&gt;"B",L119&lt;&gt;"C",L119&lt;&gt;"D"),IF(Englisch&lt;&gt;"","There is level A,B and C.   ","Dieses Jahr gibt es A-, B- und C-Klassen. Bitte korrigieren.   "),"")
&amp;
IF(AND(L119="B",OR(K119=911)),IF(Englisch&lt;&gt;"","There ist no level B in this age group. Please play in A.   ","In dieser Altersklasse keine B-Klasse. Bitte spiele in A.  "),"")&amp;
IF(AND(L119="A",OR(K119=915,K119=917,K119=919)),IF(Englisch&lt;&gt;"","There ist no level A in this age group. Please play in B.   ","In dieser Altersklasse keine A-Klasse. Bitte spiele in B.  "),"")
&amp;
IF(AND(M119&lt;&gt;"",COUNTIF('Vereine - Clubs'!$E$28:$E$47,M119)=0),IF(Englisch&lt;&gt;"","Please check club   ","Bitte den Verein überprüfen.   "),"")
&amp;
IF(AND(N119="",OR(AND(K119=11,L119="a"),AND(K119=13,L119="a"))),IFERROR(IF(VLOOKUP(M119,Vereine,4,0)="Nein","",IF(Englisch&lt;&gt;"","Please fill in turnier.de player ID   ","Bitte Spielernummer Turnier.de eintragen.   ")),""),"")
&amp;
IF(M119="","",IF(AND(VLOOKUP(M119,'Vereine - Clubs'!$E:$H,4,0)="Nein",'Teilnehmende - Starters'!S119="x"),IF(Englisch&lt;&gt;"","You can enter singles only if you pay for them.    ","EInzelteilnahme nur bei Übernahme der Bezahlung möglich.    "),""))
&amp;
IF(AND($L119="",$G119&lt;&gt;"",OR($N119&lt;&gt;"",$T119&lt;&gt;"",$W119&lt;&gt;"")),IF(Englisch&lt;&gt;"","Please add the level.     ","Bitte Spielklasse ergänzen.     "),"")</f>
        <v/>
      </c>
      <c r="AA119" s="4">
        <f t="shared" si="260"/>
        <v>0</v>
      </c>
      <c r="AB119" s="4">
        <f t="shared" si="261"/>
        <v>0</v>
      </c>
    </row>
    <row r="120" spans="1:28" ht="15" customHeight="1" x14ac:dyDescent="0.3">
      <c r="A120" s="91" t="str">
        <f t="shared" si="251"/>
        <v/>
      </c>
      <c r="B120" s="10" t="str">
        <f>IF(G120="","",MAX(B$1:B119)+1)</f>
        <v/>
      </c>
      <c r="C120" s="10" t="str">
        <f>IF(B120="","",SUMIF('Vereine - Clubs'!$E$28:$E$47,M120,'Vereine - Clubs'!$C$28:$C$47)*100+B120)</f>
        <v/>
      </c>
      <c r="D120" s="10" t="str">
        <f t="shared" si="258"/>
        <v/>
      </c>
      <c r="E120" s="10" t="str">
        <f>IF(OR($G120="",T120=""),"",IF(AND(SUMIF(T$81:T120,G120&amp;" "&amp;H120,C$81:C120)&lt;20000,OR(COUNTIF(T$81:T120,G120&amp;" "&amp;H120)&gt;0,C120&gt;20000)),"",C120))</f>
        <v/>
      </c>
      <c r="F120" s="10" t="str">
        <f>IF(OR($G120="",W120=""),"",IF(AND(SUMIF(W$81:W120,G120&amp;" "&amp;H120,C$81:C120)&lt;20000,OR(COUNTIF(W$81:W120,G120&amp;" "&amp;H120)&gt;0,C120&gt;20000)),"",C120))</f>
        <v/>
      </c>
      <c r="G120" s="66"/>
      <c r="H120" s="52"/>
      <c r="I120" s="8"/>
      <c r="J120" s="80"/>
      <c r="K120" s="53" t="str">
        <f t="shared" si="252"/>
        <v/>
      </c>
      <c r="L120" s="8"/>
      <c r="M120" s="67" t="str">
        <f>IF(G120="","",'Vereine - Clubs'!$E$28)</f>
        <v/>
      </c>
      <c r="N120" s="40"/>
      <c r="O120" s="43" t="str">
        <f t="shared" si="253"/>
        <v/>
      </c>
      <c r="P120" s="39"/>
      <c r="Q120" s="39"/>
      <c r="R120" s="40"/>
      <c r="S120" s="51" t="str">
        <f>IF(G120="","",
IF(OR(VLOOKUP(M120,'Vereine - Clubs'!E:H,4,0)="Nein",VLOOKUP(M120,'Vereine - Clubs'!E:H,4,0)="No",VLOOKUP(M120,'Vereine - Clubs'!E:H,4,0)="",VLOOKUP(M120,'Vereine - Clubs'!E:H,4,0)="nein",VLOOKUP(M120,'Vereine - Clubs'!E:H,4,0)="no",VLOOKUP(M120,'Vereine - Clubs'!E:H,4,0)=""),"","x"))</f>
        <v/>
      </c>
      <c r="T120" s="66" t="str">
        <f>IF(COUNTIF(T$81:T119,G120&amp;" "&amp;H120)=0,"",VLOOKUP(G120&amp;" "&amp;H120,$AA$5:$AC$80,3,FALSE))</f>
        <v/>
      </c>
      <c r="U120" s="53" t="str">
        <f t="shared" si="259"/>
        <v/>
      </c>
      <c r="V120" s="53" t="str">
        <f t="shared" si="254"/>
        <v/>
      </c>
      <c r="W120" s="52" t="str">
        <f>IF(COUNTIF(W$81:W119,G120&amp;" "&amp;H120)=0,"",VLOOKUP(G120&amp;" "&amp;H120,$AB$5:$AC$80,2,FALSE))</f>
        <v/>
      </c>
      <c r="X120" s="53" t="str">
        <f t="shared" si="257"/>
        <v/>
      </c>
      <c r="Y120" s="54" t="str">
        <f t="shared" si="255"/>
        <v/>
      </c>
      <c r="Z120" s="21" t="str">
        <f>IF(T120="","",IF(OR(T120="searching for partner",T120="Freimeldung",T120="x-partner"),"",IF(ISERROR(VLOOKUP(T120,$F$5:$AT$80,1,0)),IF(Englisch&lt;&gt;"","Please add double partner as participant.     ","Doppelpartner/in bitte noch als Teilnehmer eintragen.     "),IF(VLOOKUP(T120,$F$5:$R$80,4,0)=I120,"",IF(Englisch&lt;&gt;"","Wrong doubles partner     ","Falsche/r Doppelpartner/in     ")))))
&amp;IF(W120="","",IF(OR(W120="searching for partner",W120="Freimeldung",W120="x-partner"),"",IF(ISERROR(VLOOKUP(W120,$F$5:$AT$80,1,0)),IF(Englisch&lt;&gt;"","Please add mixed partner as participant     ","Mixedpartner/in bitte noch als Teilnehmer eintragen.     "),IF(VLOOKUP(W120,$F$5:$R$80,4,0)&lt;&gt;I120,"",IF(Englisch&lt;&gt;"","Wrong mixed partner.     ","Falsche/r Mixedpartner/in     ")))))
&amp;IF(AND(L120&lt;&gt;"",L120&lt;&gt;"A",L120&lt;&gt;"B",L120&lt;&gt;"C",L120&lt;&gt;"D"),IF(Englisch&lt;&gt;"","There is level A,B and C.   ","Dieses Jahr gibt es A-, B- und C-Klassen. Bitte korrigieren.   "),"")
&amp;
IF(AND(L120="B",OR(K120=911)),IF(Englisch&lt;&gt;"","There ist no level B in this age group. Please play in A.   ","In dieser Altersklasse keine B-Klasse. Bitte spiele in A.  "),"")&amp;
IF(AND(L120="A",OR(K120=915,K120=917,K120=919)),IF(Englisch&lt;&gt;"","There ist no level A in this age group. Please play in B.   ","In dieser Altersklasse keine A-Klasse. Bitte spiele in B.  "),"")
&amp;
IF(AND(M120&lt;&gt;"",COUNTIF('Vereine - Clubs'!$E$28:$E$47,M120)=0),IF(Englisch&lt;&gt;"","Please check club   ","Bitte den Verein überprüfen.   "),"")
&amp;
IF(AND(N120="",OR(AND(K120=11,L120="a"),AND(K120=13,L120="a"))),IFERROR(IF(VLOOKUP(M120,Vereine,4,0)="Nein","",IF(Englisch&lt;&gt;"","Please fill in turnier.de player ID   ","Bitte Spielernummer Turnier.de eintragen.   ")),""),"")
&amp;
IF(M120="","",IF(AND(VLOOKUP(M120,'Vereine - Clubs'!$E:$H,4,0)="Nein",'Teilnehmende - Starters'!S120="x"),IF(Englisch&lt;&gt;"","You can enter singles only if you pay for them.    ","EInzelteilnahme nur bei Übernahme der Bezahlung möglich.    "),""))
&amp;
IF(AND($L120="",$G120&lt;&gt;"",OR($N120&lt;&gt;"",$T120&lt;&gt;"",$W120&lt;&gt;"")),IF(Englisch&lt;&gt;"","Please add the level.     ","Bitte Spielklasse ergänzen.     "),"")</f>
        <v/>
      </c>
      <c r="AA120" s="4">
        <f t="shared" si="260"/>
        <v>0</v>
      </c>
      <c r="AB120" s="4">
        <f t="shared" si="261"/>
        <v>0</v>
      </c>
    </row>
    <row r="121" spans="1:28" ht="15" customHeight="1" x14ac:dyDescent="0.3">
      <c r="A121" s="91" t="str">
        <f t="shared" si="251"/>
        <v/>
      </c>
      <c r="B121" s="10" t="str">
        <f>IF(G121="","",MAX(B$1:B120)+1)</f>
        <v/>
      </c>
      <c r="C121" s="10" t="str">
        <f>IF(B121="","",SUMIF('Vereine - Clubs'!$E$28:$E$47,M121,'Vereine - Clubs'!$C$28:$C$47)*100+B121)</f>
        <v/>
      </c>
      <c r="D121" s="10" t="str">
        <f t="shared" si="258"/>
        <v/>
      </c>
      <c r="E121" s="10" t="str">
        <f>IF(OR($G121="",T121=""),"",IF(AND(SUMIF(T$81:T121,G121&amp;" "&amp;H121,C$81:C121)&lt;20000,OR(COUNTIF(T$81:T121,G121&amp;" "&amp;H121)&gt;0,C121&gt;20000)),"",C121))</f>
        <v/>
      </c>
      <c r="F121" s="10" t="str">
        <f>IF(OR($G121="",W121=""),"",IF(AND(SUMIF(W$81:W121,G121&amp;" "&amp;H121,C$81:C121)&lt;20000,OR(COUNTIF(W$81:W121,G121&amp;" "&amp;H121)&gt;0,C121&gt;20000)),"",C121))</f>
        <v/>
      </c>
      <c r="G121" s="66"/>
      <c r="H121" s="52"/>
      <c r="I121" s="8"/>
      <c r="J121" s="80"/>
      <c r="K121" s="53" t="str">
        <f t="shared" si="252"/>
        <v/>
      </c>
      <c r="L121" s="8"/>
      <c r="M121" s="67" t="str">
        <f>IF(G121="","",'Vereine - Clubs'!$E$28)</f>
        <v/>
      </c>
      <c r="N121" s="40"/>
      <c r="O121" s="43" t="str">
        <f t="shared" si="253"/>
        <v/>
      </c>
      <c r="P121" s="39"/>
      <c r="Q121" s="39"/>
      <c r="R121" s="40"/>
      <c r="S121" s="51" t="str">
        <f>IF(G121="","",
IF(OR(VLOOKUP(M121,'Vereine - Clubs'!E:H,4,0)="Nein",VLOOKUP(M121,'Vereine - Clubs'!E:H,4,0)="No",VLOOKUP(M121,'Vereine - Clubs'!E:H,4,0)="",VLOOKUP(M121,'Vereine - Clubs'!E:H,4,0)="nein",VLOOKUP(M121,'Vereine - Clubs'!E:H,4,0)="no",VLOOKUP(M121,'Vereine - Clubs'!E:H,4,0)=""),"","x"))</f>
        <v/>
      </c>
      <c r="T121" s="66" t="str">
        <f>IF(COUNTIF(T$81:T120,G121&amp;" "&amp;H121)=0,"",VLOOKUP(G121&amp;" "&amp;H121,$AA$5:$AC$80,3,FALSE))</f>
        <v/>
      </c>
      <c r="U121" s="53" t="str">
        <f t="shared" si="259"/>
        <v/>
      </c>
      <c r="V121" s="53" t="str">
        <f t="shared" si="254"/>
        <v/>
      </c>
      <c r="W121" s="52" t="str">
        <f>IF(COUNTIF(W$81:W120,G121&amp;" "&amp;H121)=0,"",VLOOKUP(G121&amp;" "&amp;H121,$AB$5:$AC$80,2,FALSE))</f>
        <v/>
      </c>
      <c r="X121" s="53" t="str">
        <f t="shared" si="257"/>
        <v/>
      </c>
      <c r="Y121" s="54" t="str">
        <f t="shared" si="255"/>
        <v/>
      </c>
      <c r="Z121" s="21" t="str">
        <f>IF(T121="","",IF(OR(T121="searching for partner",T121="Freimeldung",T121="x-partner"),"",IF(ISERROR(VLOOKUP(T121,$F$5:$AT$80,1,0)),IF(Englisch&lt;&gt;"","Please add double partner as participant.     ","Doppelpartner/in bitte noch als Teilnehmer eintragen.     "),IF(VLOOKUP(T121,$F$5:$R$80,4,0)=I121,"",IF(Englisch&lt;&gt;"","Wrong doubles partner     ","Falsche/r Doppelpartner/in     ")))))
&amp;IF(W121="","",IF(OR(W121="searching for partner",W121="Freimeldung",W121="x-partner"),"",IF(ISERROR(VLOOKUP(W121,$F$5:$AT$80,1,0)),IF(Englisch&lt;&gt;"","Please add mixed partner as participant     ","Mixedpartner/in bitte noch als Teilnehmer eintragen.     "),IF(VLOOKUP(W121,$F$5:$R$80,4,0)&lt;&gt;I121,"",IF(Englisch&lt;&gt;"","Wrong mixed partner.     ","Falsche/r Mixedpartner/in     ")))))
&amp;IF(AND(L121&lt;&gt;"",L121&lt;&gt;"A",L121&lt;&gt;"B",L121&lt;&gt;"C",L121&lt;&gt;"D"),IF(Englisch&lt;&gt;"","There is level A,B and C.   ","Dieses Jahr gibt es A-, B- und C-Klassen. Bitte korrigieren.   "),"")
&amp;
IF(AND(L121="B",OR(K121=911)),IF(Englisch&lt;&gt;"","There ist no level B in this age group. Please play in A.   ","In dieser Altersklasse keine B-Klasse. Bitte spiele in A.  "),"")&amp;
IF(AND(L121="A",OR(K121=915,K121=917,K121=919)),IF(Englisch&lt;&gt;"","There ist no level A in this age group. Please play in B.   ","In dieser Altersklasse keine A-Klasse. Bitte spiele in B.  "),"")
&amp;
IF(AND(M121&lt;&gt;"",COUNTIF('Vereine - Clubs'!$E$28:$E$47,M121)=0),IF(Englisch&lt;&gt;"","Please check club   ","Bitte den Verein überprüfen.   "),"")
&amp;
IF(AND(N121="",OR(AND(K121=11,L121="a"),AND(K121=13,L121="a"))),IFERROR(IF(VLOOKUP(M121,Vereine,4,0)="Nein","",IF(Englisch&lt;&gt;"","Please fill in turnier.de player ID   ","Bitte Spielernummer Turnier.de eintragen.   ")),""),"")
&amp;
IF(M121="","",IF(AND(VLOOKUP(M121,'Vereine - Clubs'!$E:$H,4,0)="Nein",'Teilnehmende - Starters'!S121="x"),IF(Englisch&lt;&gt;"","You can enter singles only if you pay for them.    ","EInzelteilnahme nur bei Übernahme der Bezahlung möglich.    "),""))
&amp;
IF(AND($L121="",$G121&lt;&gt;"",OR($N121&lt;&gt;"",$T121&lt;&gt;"",$W121&lt;&gt;"")),IF(Englisch&lt;&gt;"","Please add the level.     ","Bitte Spielklasse ergänzen.     "),"")</f>
        <v/>
      </c>
      <c r="AA121" s="4">
        <f t="shared" si="260"/>
        <v>0</v>
      </c>
      <c r="AB121" s="4">
        <f t="shared" si="261"/>
        <v>0</v>
      </c>
    </row>
    <row r="122" spans="1:28" ht="15" customHeight="1" x14ac:dyDescent="0.3">
      <c r="A122" s="91" t="str">
        <f t="shared" si="251"/>
        <v/>
      </c>
      <c r="B122" s="10" t="str">
        <f>IF(G122="","",MAX(B$1:B121)+1)</f>
        <v/>
      </c>
      <c r="C122" s="10" t="str">
        <f>IF(B122="","",SUMIF('Vereine - Clubs'!$E$28:$E$47,M122,'Vereine - Clubs'!$C$28:$C$47)*100+B122)</f>
        <v/>
      </c>
      <c r="D122" s="10" t="str">
        <f t="shared" si="258"/>
        <v/>
      </c>
      <c r="E122" s="10" t="str">
        <f>IF(OR($G122="",T122=""),"",IF(AND(SUMIF(T$81:T122,G122&amp;" "&amp;H122,C$81:C122)&lt;20000,OR(COUNTIF(T$81:T122,G122&amp;" "&amp;H122)&gt;0,C122&gt;20000)),"",C122))</f>
        <v/>
      </c>
      <c r="F122" s="10" t="str">
        <f>IF(OR($G122="",W122=""),"",IF(AND(SUMIF(W$81:W122,G122&amp;" "&amp;H122,C$81:C122)&lt;20000,OR(COUNTIF(W$81:W122,G122&amp;" "&amp;H122)&gt;0,C122&gt;20000)),"",C122))</f>
        <v/>
      </c>
      <c r="G122" s="66"/>
      <c r="H122" s="52"/>
      <c r="I122" s="8"/>
      <c r="J122" s="80"/>
      <c r="K122" s="53" t="str">
        <f t="shared" si="252"/>
        <v/>
      </c>
      <c r="L122" s="8"/>
      <c r="M122" s="67" t="str">
        <f>IF(G122="","",'Vereine - Clubs'!$E$28)</f>
        <v/>
      </c>
      <c r="N122" s="40"/>
      <c r="O122" s="43" t="str">
        <f t="shared" si="253"/>
        <v/>
      </c>
      <c r="P122" s="39"/>
      <c r="Q122" s="39"/>
      <c r="R122" s="40"/>
      <c r="S122" s="51" t="str">
        <f>IF(G122="","",
IF(OR(VLOOKUP(M122,'Vereine - Clubs'!E:H,4,0)="Nein",VLOOKUP(M122,'Vereine - Clubs'!E:H,4,0)="No",VLOOKUP(M122,'Vereine - Clubs'!E:H,4,0)="",VLOOKUP(M122,'Vereine - Clubs'!E:H,4,0)="nein",VLOOKUP(M122,'Vereine - Clubs'!E:H,4,0)="no",VLOOKUP(M122,'Vereine - Clubs'!E:H,4,0)=""),"","x"))</f>
        <v/>
      </c>
      <c r="T122" s="66" t="str">
        <f>IF(COUNTIF(T$81:T121,G122&amp;" "&amp;H122)=0,"",VLOOKUP(G122&amp;" "&amp;H122,$AA$5:$AC$80,3,FALSE))</f>
        <v/>
      </c>
      <c r="U122" s="53" t="str">
        <f t="shared" si="259"/>
        <v/>
      </c>
      <c r="V122" s="53" t="str">
        <f t="shared" si="254"/>
        <v/>
      </c>
      <c r="W122" s="52" t="str">
        <f>IF(COUNTIF(W$81:W121,G122&amp;" "&amp;H122)=0,"",VLOOKUP(G122&amp;" "&amp;H122,$AB$5:$AC$80,2,FALSE))</f>
        <v/>
      </c>
      <c r="X122" s="53" t="str">
        <f t="shared" si="257"/>
        <v/>
      </c>
      <c r="Y122" s="54" t="str">
        <f t="shared" si="255"/>
        <v/>
      </c>
      <c r="Z122" s="21" t="str">
        <f>IF(T122="","",IF(OR(T122="searching for partner",T122="Freimeldung",T122="x-partner"),"",IF(ISERROR(VLOOKUP(T122,$F$5:$AT$80,1,0)),IF(Englisch&lt;&gt;"","Please add double partner as participant.     ","Doppelpartner/in bitte noch als Teilnehmer eintragen.     "),IF(VLOOKUP(T122,$F$5:$R$80,4,0)=I122,"",IF(Englisch&lt;&gt;"","Wrong doubles partner     ","Falsche/r Doppelpartner/in     ")))))
&amp;IF(W122="","",IF(OR(W122="searching for partner",W122="Freimeldung",W122="x-partner"),"",IF(ISERROR(VLOOKUP(W122,$F$5:$AT$80,1,0)),IF(Englisch&lt;&gt;"","Please add mixed partner as participant     ","Mixedpartner/in bitte noch als Teilnehmer eintragen.     "),IF(VLOOKUP(W122,$F$5:$R$80,4,0)&lt;&gt;I122,"",IF(Englisch&lt;&gt;"","Wrong mixed partner.     ","Falsche/r Mixedpartner/in     ")))))
&amp;IF(AND(L122&lt;&gt;"",L122&lt;&gt;"A",L122&lt;&gt;"B",L122&lt;&gt;"C",L122&lt;&gt;"D"),IF(Englisch&lt;&gt;"","There is level A,B and C.   ","Dieses Jahr gibt es A-, B- und C-Klassen. Bitte korrigieren.   "),"")
&amp;
IF(AND(L122="B",OR(K122=911)),IF(Englisch&lt;&gt;"","There ist no level B in this age group. Please play in A.   ","In dieser Altersklasse keine B-Klasse. Bitte spiele in A.  "),"")&amp;
IF(AND(L122="A",OR(K122=915,K122=917,K122=919)),IF(Englisch&lt;&gt;"","There ist no level A in this age group. Please play in B.   ","In dieser Altersklasse keine A-Klasse. Bitte spiele in B.  "),"")
&amp;
IF(AND(M122&lt;&gt;"",COUNTIF('Vereine - Clubs'!$E$28:$E$47,M122)=0),IF(Englisch&lt;&gt;"","Please check club   ","Bitte den Verein überprüfen.   "),"")
&amp;
IF(AND(N122="",OR(AND(K122=11,L122="a"),AND(K122=13,L122="a"))),IFERROR(IF(VLOOKUP(M122,Vereine,4,0)="Nein","",IF(Englisch&lt;&gt;"","Please fill in turnier.de player ID   ","Bitte Spielernummer Turnier.de eintragen.   ")),""),"")
&amp;
IF(M122="","",IF(AND(VLOOKUP(M122,'Vereine - Clubs'!$E:$H,4,0)="Nein",'Teilnehmende - Starters'!S122="x"),IF(Englisch&lt;&gt;"","You can enter singles only if you pay for them.    ","EInzelteilnahme nur bei Übernahme der Bezahlung möglich.    "),""))
&amp;
IF(AND($L122="",$G122&lt;&gt;"",OR($N122&lt;&gt;"",$T122&lt;&gt;"",$W122&lt;&gt;"")),IF(Englisch&lt;&gt;"","Please add the level.     ","Bitte Spielklasse ergänzen.     "),"")</f>
        <v/>
      </c>
      <c r="AA122" s="4">
        <f t="shared" si="260"/>
        <v>0</v>
      </c>
      <c r="AB122" s="4">
        <f t="shared" si="261"/>
        <v>0</v>
      </c>
    </row>
    <row r="123" spans="1:28" ht="15" customHeight="1" x14ac:dyDescent="0.3">
      <c r="A123" s="91" t="str">
        <f t="shared" si="251"/>
        <v/>
      </c>
      <c r="B123" s="10" t="str">
        <f>IF(G123="","",MAX(B$1:B122)+1)</f>
        <v/>
      </c>
      <c r="C123" s="10" t="str">
        <f>IF(B123="","",SUMIF('Vereine - Clubs'!$E$28:$E$47,M123,'Vereine - Clubs'!$C$28:$C$47)*100+B123)</f>
        <v/>
      </c>
      <c r="D123" s="10" t="str">
        <f t="shared" si="258"/>
        <v/>
      </c>
      <c r="E123" s="10" t="str">
        <f>IF(OR($G123="",T123=""),"",IF(AND(SUMIF(T$81:T123,G123&amp;" "&amp;H123,C$81:C123)&lt;20000,OR(COUNTIF(T$81:T123,G123&amp;" "&amp;H123)&gt;0,C123&gt;20000)),"",C123))</f>
        <v/>
      </c>
      <c r="F123" s="10" t="str">
        <f>IF(OR($G123="",W123=""),"",IF(AND(SUMIF(W$81:W123,G123&amp;" "&amp;H123,C$81:C123)&lt;20000,OR(COUNTIF(W$81:W123,G123&amp;" "&amp;H123)&gt;0,C123&gt;20000)),"",C123))</f>
        <v/>
      </c>
      <c r="G123" s="66"/>
      <c r="H123" s="52"/>
      <c r="I123" s="8"/>
      <c r="J123" s="80"/>
      <c r="K123" s="53" t="str">
        <f t="shared" si="252"/>
        <v/>
      </c>
      <c r="L123" s="8"/>
      <c r="M123" s="67" t="str">
        <f>IF(G123="","",'Vereine - Clubs'!$E$28)</f>
        <v/>
      </c>
      <c r="N123" s="40"/>
      <c r="O123" s="43" t="str">
        <f t="shared" si="253"/>
        <v/>
      </c>
      <c r="P123" s="39"/>
      <c r="Q123" s="39"/>
      <c r="R123" s="40"/>
      <c r="S123" s="51" t="str">
        <f>IF(G123="","",
IF(OR(VLOOKUP(M123,'Vereine - Clubs'!E:H,4,0)="Nein",VLOOKUP(M123,'Vereine - Clubs'!E:H,4,0)="No",VLOOKUP(M123,'Vereine - Clubs'!E:H,4,0)="",VLOOKUP(M123,'Vereine - Clubs'!E:H,4,0)="nein",VLOOKUP(M123,'Vereine - Clubs'!E:H,4,0)="no",VLOOKUP(M123,'Vereine - Clubs'!E:H,4,0)=""),"","x"))</f>
        <v/>
      </c>
      <c r="T123" s="66" t="str">
        <f>IF(COUNTIF(T$81:T122,G123&amp;" "&amp;H123)=0,"",VLOOKUP(G123&amp;" "&amp;H123,$AA$5:$AC$80,3,FALSE))</f>
        <v/>
      </c>
      <c r="U123" s="53" t="str">
        <f t="shared" si="259"/>
        <v/>
      </c>
      <c r="V123" s="53" t="str">
        <f t="shared" si="254"/>
        <v/>
      </c>
      <c r="W123" s="52" t="str">
        <f>IF(COUNTIF(W$81:W122,G123&amp;" "&amp;H123)=0,"",VLOOKUP(G123&amp;" "&amp;H123,$AB$5:$AC$80,2,FALSE))</f>
        <v/>
      </c>
      <c r="X123" s="53" t="str">
        <f t="shared" si="257"/>
        <v/>
      </c>
      <c r="Y123" s="54" t="str">
        <f t="shared" si="255"/>
        <v/>
      </c>
      <c r="Z123" s="21" t="str">
        <f>IF(T123="","",IF(OR(T123="searching for partner",T123="Freimeldung",T123="x-partner"),"",IF(ISERROR(VLOOKUP(T123,$F$5:$AT$80,1,0)),IF(Englisch&lt;&gt;"","Please add double partner as participant.     ","Doppelpartner/in bitte noch als Teilnehmer eintragen.     "),IF(VLOOKUP(T123,$F$5:$R$80,4,0)=I123,"",IF(Englisch&lt;&gt;"","Wrong doubles partner     ","Falsche/r Doppelpartner/in     ")))))
&amp;IF(W123="","",IF(OR(W123="searching for partner",W123="Freimeldung",W123="x-partner"),"",IF(ISERROR(VLOOKUP(W123,$F$5:$AT$80,1,0)),IF(Englisch&lt;&gt;"","Please add mixed partner as participant     ","Mixedpartner/in bitte noch als Teilnehmer eintragen.     "),IF(VLOOKUP(W123,$F$5:$R$80,4,0)&lt;&gt;I123,"",IF(Englisch&lt;&gt;"","Wrong mixed partner.     ","Falsche/r Mixedpartner/in     ")))))
&amp;IF(AND(L123&lt;&gt;"",L123&lt;&gt;"A",L123&lt;&gt;"B",L123&lt;&gt;"C",L123&lt;&gt;"D"),IF(Englisch&lt;&gt;"","There is level A,B and C.   ","Dieses Jahr gibt es A-, B- und C-Klassen. Bitte korrigieren.   "),"")
&amp;
IF(AND(L123="B",OR(K123=911)),IF(Englisch&lt;&gt;"","There ist no level B in this age group. Please play in A.   ","In dieser Altersklasse keine B-Klasse. Bitte spiele in A.  "),"")&amp;
IF(AND(L123="A",OR(K123=915,K123=917,K123=919)),IF(Englisch&lt;&gt;"","There ist no level A in this age group. Please play in B.   ","In dieser Altersklasse keine A-Klasse. Bitte spiele in B.  "),"")
&amp;
IF(AND(M123&lt;&gt;"",COUNTIF('Vereine - Clubs'!$E$28:$E$47,M123)=0),IF(Englisch&lt;&gt;"","Please check club   ","Bitte den Verein überprüfen.   "),"")
&amp;
IF(AND(N123="",OR(AND(K123=11,L123="a"),AND(K123=13,L123="a"))),IFERROR(IF(VLOOKUP(M123,Vereine,4,0)="Nein","",IF(Englisch&lt;&gt;"","Please fill in turnier.de player ID   ","Bitte Spielernummer Turnier.de eintragen.   ")),""),"")
&amp;
IF(M123="","",IF(AND(VLOOKUP(M123,'Vereine - Clubs'!$E:$H,4,0)="Nein",'Teilnehmende - Starters'!S123="x"),IF(Englisch&lt;&gt;"","You can enter singles only if you pay for them.    ","EInzelteilnahme nur bei Übernahme der Bezahlung möglich.    "),""))
&amp;
IF(AND($L123="",$G123&lt;&gt;"",OR($N123&lt;&gt;"",$T123&lt;&gt;"",$W123&lt;&gt;"")),IF(Englisch&lt;&gt;"","Please add the level.     ","Bitte Spielklasse ergänzen.     "),"")</f>
        <v/>
      </c>
      <c r="AA123" s="4">
        <f t="shared" si="260"/>
        <v>0</v>
      </c>
      <c r="AB123" s="4">
        <f t="shared" si="261"/>
        <v>0</v>
      </c>
    </row>
    <row r="124" spans="1:28" ht="15" customHeight="1" x14ac:dyDescent="0.3">
      <c r="A124" s="91" t="str">
        <f t="shared" si="251"/>
        <v/>
      </c>
      <c r="B124" s="10" t="str">
        <f>IF(G124="","",MAX(B$1:B123)+1)</f>
        <v/>
      </c>
      <c r="C124" s="10" t="str">
        <f>IF(B124="","",SUMIF('Vereine - Clubs'!$E$28:$E$47,M124,'Vereine - Clubs'!$C$28:$C$47)*100+B124)</f>
        <v/>
      </c>
      <c r="D124" s="10" t="str">
        <f t="shared" si="258"/>
        <v/>
      </c>
      <c r="E124" s="10" t="str">
        <f>IF(OR($G124="",T124=""),"",IF(AND(SUMIF(T$81:T124,G124&amp;" "&amp;H124,C$81:C124)&lt;20000,OR(COUNTIF(T$81:T124,G124&amp;" "&amp;H124)&gt;0,C124&gt;20000)),"",C124))</f>
        <v/>
      </c>
      <c r="F124" s="10" t="str">
        <f>IF(OR($G124="",W124=""),"",IF(AND(SUMIF(W$81:W124,G124&amp;" "&amp;H124,C$81:C124)&lt;20000,OR(COUNTIF(W$81:W124,G124&amp;" "&amp;H124)&gt;0,C124&gt;20000)),"",C124))</f>
        <v/>
      </c>
      <c r="G124" s="66"/>
      <c r="H124" s="52"/>
      <c r="I124" s="8"/>
      <c r="J124" s="80"/>
      <c r="K124" s="53" t="str">
        <f t="shared" si="252"/>
        <v/>
      </c>
      <c r="L124" s="8"/>
      <c r="M124" s="67" t="str">
        <f>IF(G124="","",'Vereine - Clubs'!$E$28)</f>
        <v/>
      </c>
      <c r="N124" s="40"/>
      <c r="O124" s="43" t="str">
        <f t="shared" si="253"/>
        <v/>
      </c>
      <c r="P124" s="39"/>
      <c r="Q124" s="39"/>
      <c r="R124" s="40"/>
      <c r="S124" s="51" t="str">
        <f>IF(G124="","",
IF(OR(VLOOKUP(M124,'Vereine - Clubs'!E:H,4,0)="Nein",VLOOKUP(M124,'Vereine - Clubs'!E:H,4,0)="No",VLOOKUP(M124,'Vereine - Clubs'!E:H,4,0)="",VLOOKUP(M124,'Vereine - Clubs'!E:H,4,0)="nein",VLOOKUP(M124,'Vereine - Clubs'!E:H,4,0)="no",VLOOKUP(M124,'Vereine - Clubs'!E:H,4,0)=""),"","x"))</f>
        <v/>
      </c>
      <c r="T124" s="66" t="str">
        <f>IF(COUNTIF(T$81:T123,G124&amp;" "&amp;H124)=0,"",VLOOKUP(G124&amp;" "&amp;H124,$AA$5:$AC$80,3,FALSE))</f>
        <v/>
      </c>
      <c r="U124" s="53" t="str">
        <f t="shared" si="259"/>
        <v/>
      </c>
      <c r="V124" s="53" t="str">
        <f t="shared" si="254"/>
        <v/>
      </c>
      <c r="W124" s="52" t="str">
        <f>IF(COUNTIF(W$81:W123,G124&amp;" "&amp;H124)=0,"",VLOOKUP(G124&amp;" "&amp;H124,$AB$5:$AC$80,2,FALSE))</f>
        <v/>
      </c>
      <c r="X124" s="53" t="str">
        <f t="shared" si="257"/>
        <v/>
      </c>
      <c r="Y124" s="54" t="str">
        <f t="shared" si="255"/>
        <v/>
      </c>
      <c r="Z124" s="21" t="str">
        <f>IF(T124="","",IF(OR(T124="searching for partner",T124="Freimeldung",T124="x-partner"),"",IF(ISERROR(VLOOKUP(T124,$F$5:$AT$80,1,0)),IF(Englisch&lt;&gt;"","Please add double partner as participant.     ","Doppelpartner/in bitte noch als Teilnehmer eintragen.     "),IF(VLOOKUP(T124,$F$5:$R$80,4,0)=I124,"",IF(Englisch&lt;&gt;"","Wrong doubles partner     ","Falsche/r Doppelpartner/in     ")))))
&amp;IF(W124="","",IF(OR(W124="searching for partner",W124="Freimeldung",W124="x-partner"),"",IF(ISERROR(VLOOKUP(W124,$F$5:$AT$80,1,0)),IF(Englisch&lt;&gt;"","Please add mixed partner as participant     ","Mixedpartner/in bitte noch als Teilnehmer eintragen.     "),IF(VLOOKUP(W124,$F$5:$R$80,4,0)&lt;&gt;I124,"",IF(Englisch&lt;&gt;"","Wrong mixed partner.     ","Falsche/r Mixedpartner/in     ")))))
&amp;IF(AND(L124&lt;&gt;"",L124&lt;&gt;"A",L124&lt;&gt;"B",L124&lt;&gt;"C",L124&lt;&gt;"D"),IF(Englisch&lt;&gt;"","There is level A,B and C.   ","Dieses Jahr gibt es A-, B- und C-Klassen. Bitte korrigieren.   "),"")
&amp;
IF(AND(L124="B",OR(K124=911)),IF(Englisch&lt;&gt;"","There ist no level B in this age group. Please play in A.   ","In dieser Altersklasse keine B-Klasse. Bitte spiele in A.  "),"")&amp;
IF(AND(L124="A",OR(K124=915,K124=917,K124=919)),IF(Englisch&lt;&gt;"","There ist no level A in this age group. Please play in B.   ","In dieser Altersklasse keine A-Klasse. Bitte spiele in B.  "),"")
&amp;
IF(AND(M124&lt;&gt;"",COUNTIF('Vereine - Clubs'!$E$28:$E$47,M124)=0),IF(Englisch&lt;&gt;"","Please check club   ","Bitte den Verein überprüfen.   "),"")
&amp;
IF(AND(N124="",OR(AND(K124=11,L124="a"),AND(K124=13,L124="a"))),IFERROR(IF(VLOOKUP(M124,Vereine,4,0)="Nein","",IF(Englisch&lt;&gt;"","Please fill in turnier.de player ID   ","Bitte Spielernummer Turnier.de eintragen.   ")),""),"")
&amp;
IF(M124="","",IF(AND(VLOOKUP(M124,'Vereine - Clubs'!$E:$H,4,0)="Nein",'Teilnehmende - Starters'!S124="x"),IF(Englisch&lt;&gt;"","You can enter singles only if you pay for them.    ","EInzelteilnahme nur bei Übernahme der Bezahlung möglich.    "),""))
&amp;
IF(AND($L124="",$G124&lt;&gt;"",OR($N124&lt;&gt;"",$T124&lt;&gt;"",$W124&lt;&gt;"")),IF(Englisch&lt;&gt;"","Please add the level.     ","Bitte Spielklasse ergänzen.     "),"")</f>
        <v/>
      </c>
      <c r="AA124" s="4">
        <f t="shared" si="260"/>
        <v>0</v>
      </c>
      <c r="AB124" s="4">
        <f t="shared" si="261"/>
        <v>0</v>
      </c>
    </row>
    <row r="125" spans="1:28" ht="15" customHeight="1" x14ac:dyDescent="0.3">
      <c r="A125" s="91" t="str">
        <f t="shared" si="251"/>
        <v/>
      </c>
      <c r="B125" s="10" t="str">
        <f>IF(G125="","",MAX(B$1:B124)+1)</f>
        <v/>
      </c>
      <c r="C125" s="10" t="str">
        <f>IF(B125="","",SUMIF('Vereine - Clubs'!$E$28:$E$47,M125,'Vereine - Clubs'!$C$28:$C$47)*100+B125)</f>
        <v/>
      </c>
      <c r="D125" s="10" t="str">
        <f t="shared" si="258"/>
        <v/>
      </c>
      <c r="E125" s="10" t="str">
        <f>IF(OR($G125="",T125=""),"",IF(AND(SUMIF(T$81:T125,G125&amp;" "&amp;H125,C$81:C125)&lt;20000,OR(COUNTIF(T$81:T125,G125&amp;" "&amp;H125)&gt;0,C125&gt;20000)),"",C125))</f>
        <v/>
      </c>
      <c r="F125" s="10" t="str">
        <f>IF(OR($G125="",W125=""),"",IF(AND(SUMIF(W$81:W125,G125&amp;" "&amp;H125,C$81:C125)&lt;20000,OR(COUNTIF(W$81:W125,G125&amp;" "&amp;H125)&gt;0,C125&gt;20000)),"",C125))</f>
        <v/>
      </c>
      <c r="G125" s="66"/>
      <c r="H125" s="52"/>
      <c r="I125" s="8"/>
      <c r="J125" s="80"/>
      <c r="K125" s="53" t="str">
        <f t="shared" si="252"/>
        <v/>
      </c>
      <c r="L125" s="8"/>
      <c r="M125" s="67" t="str">
        <f>IF(G125="","",'Vereine - Clubs'!$E$28)</f>
        <v/>
      </c>
      <c r="N125" s="40"/>
      <c r="O125" s="43" t="str">
        <f t="shared" si="253"/>
        <v/>
      </c>
      <c r="P125" s="39"/>
      <c r="Q125" s="39"/>
      <c r="R125" s="40"/>
      <c r="S125" s="51" t="str">
        <f>IF(G125="","",
IF(OR(VLOOKUP(M125,'Vereine - Clubs'!E:H,4,0)="Nein",VLOOKUP(M125,'Vereine - Clubs'!E:H,4,0)="No",VLOOKUP(M125,'Vereine - Clubs'!E:H,4,0)="",VLOOKUP(M125,'Vereine - Clubs'!E:H,4,0)="nein",VLOOKUP(M125,'Vereine - Clubs'!E:H,4,0)="no",VLOOKUP(M125,'Vereine - Clubs'!E:H,4,0)=""),"","x"))</f>
        <v/>
      </c>
      <c r="T125" s="66" t="str">
        <f>IF(COUNTIF(T$81:T124,G125&amp;" "&amp;H125)=0,"",VLOOKUP(G125&amp;" "&amp;H125,$AA$5:$AC$80,3,FALSE))</f>
        <v/>
      </c>
      <c r="U125" s="53" t="str">
        <f t="shared" si="259"/>
        <v/>
      </c>
      <c r="V125" s="53" t="str">
        <f t="shared" si="254"/>
        <v/>
      </c>
      <c r="W125" s="52" t="str">
        <f>IF(COUNTIF(W$81:W124,G125&amp;" "&amp;H125)=0,"",VLOOKUP(G125&amp;" "&amp;H125,$AB$5:$AC$80,2,FALSE))</f>
        <v/>
      </c>
      <c r="X125" s="53" t="str">
        <f t="shared" si="257"/>
        <v/>
      </c>
      <c r="Y125" s="54" t="str">
        <f t="shared" si="255"/>
        <v/>
      </c>
      <c r="Z125" s="21" t="str">
        <f>IF(T125="","",IF(OR(T125="searching for partner",T125="Freimeldung",T125="x-partner"),"",IF(ISERROR(VLOOKUP(T125,$F$5:$AT$80,1,0)),IF(Englisch&lt;&gt;"","Please add double partner as participant.     ","Doppelpartner/in bitte noch als Teilnehmer eintragen.     "),IF(VLOOKUP(T125,$F$5:$R$80,4,0)=I125,"",IF(Englisch&lt;&gt;"","Wrong doubles partner     ","Falsche/r Doppelpartner/in     ")))))
&amp;IF(W125="","",IF(OR(W125="searching for partner",W125="Freimeldung",W125="x-partner"),"",IF(ISERROR(VLOOKUP(W125,$F$5:$AT$80,1,0)),IF(Englisch&lt;&gt;"","Please add mixed partner as participant     ","Mixedpartner/in bitte noch als Teilnehmer eintragen.     "),IF(VLOOKUP(W125,$F$5:$R$80,4,0)&lt;&gt;I125,"",IF(Englisch&lt;&gt;"","Wrong mixed partner.     ","Falsche/r Mixedpartner/in     ")))))
&amp;IF(AND(L125&lt;&gt;"",L125&lt;&gt;"A",L125&lt;&gt;"B",L125&lt;&gt;"C",L125&lt;&gt;"D"),IF(Englisch&lt;&gt;"","There is level A,B and C.   ","Dieses Jahr gibt es A-, B- und C-Klassen. Bitte korrigieren.   "),"")
&amp;
IF(AND(L125="B",OR(K125=911)),IF(Englisch&lt;&gt;"","There ist no level B in this age group. Please play in A.   ","In dieser Altersklasse keine B-Klasse. Bitte spiele in A.  "),"")&amp;
IF(AND(L125="A",OR(K125=915,K125=917,K125=919)),IF(Englisch&lt;&gt;"","There ist no level A in this age group. Please play in B.   ","In dieser Altersklasse keine A-Klasse. Bitte spiele in B.  "),"")
&amp;
IF(AND(M125&lt;&gt;"",COUNTIF('Vereine - Clubs'!$E$28:$E$47,M125)=0),IF(Englisch&lt;&gt;"","Please check club   ","Bitte den Verein überprüfen.   "),"")
&amp;
IF(AND(N125="",OR(AND(K125=11,L125="a"),AND(K125=13,L125="a"))),IFERROR(IF(VLOOKUP(M125,Vereine,4,0)="Nein","",IF(Englisch&lt;&gt;"","Please fill in turnier.de player ID   ","Bitte Spielernummer Turnier.de eintragen.   ")),""),"")
&amp;
IF(M125="","",IF(AND(VLOOKUP(M125,'Vereine - Clubs'!$E:$H,4,0)="Nein",'Teilnehmende - Starters'!S125="x"),IF(Englisch&lt;&gt;"","You can enter singles only if you pay for them.    ","EInzelteilnahme nur bei Übernahme der Bezahlung möglich.    "),""))
&amp;
IF(AND($L125="",$G125&lt;&gt;"",OR($N125&lt;&gt;"",$T125&lt;&gt;"",$W125&lt;&gt;"")),IF(Englisch&lt;&gt;"","Please add the level.     ","Bitte Spielklasse ergänzen.     "),"")</f>
        <v/>
      </c>
      <c r="AA125" s="4">
        <f t="shared" si="260"/>
        <v>0</v>
      </c>
      <c r="AB125" s="4">
        <f t="shared" si="261"/>
        <v>0</v>
      </c>
    </row>
    <row r="126" spans="1:28" ht="15" customHeight="1" x14ac:dyDescent="0.3">
      <c r="A126" s="91" t="str">
        <f t="shared" si="251"/>
        <v/>
      </c>
      <c r="B126" s="10" t="str">
        <f>IF(G126="","",MAX(B$1:B125)+1)</f>
        <v/>
      </c>
      <c r="C126" s="10" t="str">
        <f>IF(B126="","",SUMIF('Vereine - Clubs'!$E$28:$E$47,M126,'Vereine - Clubs'!$C$28:$C$47)*100+B126)</f>
        <v/>
      </c>
      <c r="D126" s="10" t="str">
        <f t="shared" si="258"/>
        <v/>
      </c>
      <c r="E126" s="10" t="str">
        <f>IF(OR($G126="",T126=""),"",IF(AND(SUMIF(T$81:T126,G126&amp;" "&amp;H126,C$81:C126)&lt;20000,OR(COUNTIF(T$81:T126,G126&amp;" "&amp;H126)&gt;0,C126&gt;20000)),"",C126))</f>
        <v/>
      </c>
      <c r="F126" s="10" t="str">
        <f>IF(OR($G126="",W126=""),"",IF(AND(SUMIF(W$81:W126,G126&amp;" "&amp;H126,C$81:C126)&lt;20000,OR(COUNTIF(W$81:W126,G126&amp;" "&amp;H126)&gt;0,C126&gt;20000)),"",C126))</f>
        <v/>
      </c>
      <c r="G126" s="66"/>
      <c r="H126" s="52"/>
      <c r="I126" s="8"/>
      <c r="J126" s="80"/>
      <c r="K126" s="53" t="str">
        <f t="shared" si="252"/>
        <v/>
      </c>
      <c r="L126" s="8"/>
      <c r="M126" s="67" t="str">
        <f>IF(G126="","",'Vereine - Clubs'!$E$28)</f>
        <v/>
      </c>
      <c r="N126" s="40"/>
      <c r="O126" s="43" t="str">
        <f t="shared" si="253"/>
        <v/>
      </c>
      <c r="P126" s="39"/>
      <c r="Q126" s="39"/>
      <c r="R126" s="40"/>
      <c r="S126" s="51" t="str">
        <f>IF(G126="","",
IF(OR(VLOOKUP(M126,'Vereine - Clubs'!E:H,4,0)="Nein",VLOOKUP(M126,'Vereine - Clubs'!E:H,4,0)="No",VLOOKUP(M126,'Vereine - Clubs'!E:H,4,0)="",VLOOKUP(M126,'Vereine - Clubs'!E:H,4,0)="nein",VLOOKUP(M126,'Vereine - Clubs'!E:H,4,0)="no",VLOOKUP(M126,'Vereine - Clubs'!E:H,4,0)=""),"","x"))</f>
        <v/>
      </c>
      <c r="T126" s="66" t="str">
        <f>IF(COUNTIF(T$81:T125,G126&amp;" "&amp;H126)=0,"",VLOOKUP(G126&amp;" "&amp;H126,$AA$5:$AC$80,3,FALSE))</f>
        <v/>
      </c>
      <c r="U126" s="53" t="str">
        <f t="shared" si="259"/>
        <v/>
      </c>
      <c r="V126" s="53" t="str">
        <f t="shared" si="254"/>
        <v/>
      </c>
      <c r="W126" s="52" t="str">
        <f>IF(COUNTIF(W$81:W125,G126&amp;" "&amp;H126)=0,"",VLOOKUP(G126&amp;" "&amp;H126,$AB$5:$AC$80,2,FALSE))</f>
        <v/>
      </c>
      <c r="X126" s="53" t="str">
        <f t="shared" si="257"/>
        <v/>
      </c>
      <c r="Y126" s="54" t="str">
        <f t="shared" si="255"/>
        <v/>
      </c>
      <c r="Z126" s="21" t="str">
        <f>IF(T126="","",IF(OR(T126="searching for partner",T126="Freimeldung",T126="x-partner"),"",IF(ISERROR(VLOOKUP(T126,$F$5:$AT$80,1,0)),IF(Englisch&lt;&gt;"","Please add double partner as participant.     ","Doppelpartner/in bitte noch als Teilnehmer eintragen.     "),IF(VLOOKUP(T126,$F$5:$R$80,4,0)=I126,"",IF(Englisch&lt;&gt;"","Wrong doubles partner     ","Falsche/r Doppelpartner/in     ")))))
&amp;IF(W126="","",IF(OR(W126="searching for partner",W126="Freimeldung",W126="x-partner"),"",IF(ISERROR(VLOOKUP(W126,$F$5:$AT$80,1,0)),IF(Englisch&lt;&gt;"","Please add mixed partner as participant     ","Mixedpartner/in bitte noch als Teilnehmer eintragen.     "),IF(VLOOKUP(W126,$F$5:$R$80,4,0)&lt;&gt;I126,"",IF(Englisch&lt;&gt;"","Wrong mixed partner.     ","Falsche/r Mixedpartner/in     ")))))
&amp;IF(AND(L126&lt;&gt;"",L126&lt;&gt;"A",L126&lt;&gt;"B",L126&lt;&gt;"C",L126&lt;&gt;"D"),IF(Englisch&lt;&gt;"","There is level A,B and C.   ","Dieses Jahr gibt es A-, B- und C-Klassen. Bitte korrigieren.   "),"")
&amp;
IF(AND(L126="B",OR(K126=911)),IF(Englisch&lt;&gt;"","There ist no level B in this age group. Please play in A.   ","In dieser Altersklasse keine B-Klasse. Bitte spiele in A.  "),"")&amp;
IF(AND(L126="A",OR(K126=915,K126=917,K126=919)),IF(Englisch&lt;&gt;"","There ist no level A in this age group. Please play in B.   ","In dieser Altersklasse keine A-Klasse. Bitte spiele in B.  "),"")
&amp;
IF(AND(M126&lt;&gt;"",COUNTIF('Vereine - Clubs'!$E$28:$E$47,M126)=0),IF(Englisch&lt;&gt;"","Please check club   ","Bitte den Verein überprüfen.   "),"")
&amp;
IF(AND(N126="",OR(AND(K126=11,L126="a"),AND(K126=13,L126="a"))),IFERROR(IF(VLOOKUP(M126,Vereine,4,0)="Nein","",IF(Englisch&lt;&gt;"","Please fill in turnier.de player ID   ","Bitte Spielernummer Turnier.de eintragen.   ")),""),"")
&amp;
IF(M126="","",IF(AND(VLOOKUP(M126,'Vereine - Clubs'!$E:$H,4,0)="Nein",'Teilnehmende - Starters'!S126="x"),IF(Englisch&lt;&gt;"","You can enter singles only if you pay for them.    ","EInzelteilnahme nur bei Übernahme der Bezahlung möglich.    "),""))
&amp;
IF(AND($L126="",$G126&lt;&gt;"",OR($N126&lt;&gt;"",$T126&lt;&gt;"",$W126&lt;&gt;"")),IF(Englisch&lt;&gt;"","Please add the level.     ","Bitte Spielklasse ergänzen.     "),"")</f>
        <v/>
      </c>
      <c r="AA126" s="4">
        <f t="shared" si="260"/>
        <v>0</v>
      </c>
      <c r="AB126" s="4">
        <f t="shared" si="261"/>
        <v>0</v>
      </c>
    </row>
    <row r="127" spans="1:28" ht="15" customHeight="1" x14ac:dyDescent="0.3">
      <c r="A127" s="91" t="str">
        <f t="shared" si="251"/>
        <v/>
      </c>
      <c r="B127" s="10" t="str">
        <f>IF(G127="","",MAX(B$1:B126)+1)</f>
        <v/>
      </c>
      <c r="C127" s="10" t="str">
        <f>IF(B127="","",SUMIF('Vereine - Clubs'!$E$28:$E$47,M127,'Vereine - Clubs'!$C$28:$C$47)*100+B127)</f>
        <v/>
      </c>
      <c r="D127" s="10" t="str">
        <f t="shared" si="258"/>
        <v/>
      </c>
      <c r="E127" s="10" t="str">
        <f>IF(OR($G127="",T127=""),"",IF(AND(SUMIF(T$81:T127,G127&amp;" "&amp;H127,C$81:C127)&lt;20000,OR(COUNTIF(T$81:T127,G127&amp;" "&amp;H127)&gt;0,C127&gt;20000)),"",C127))</f>
        <v/>
      </c>
      <c r="F127" s="10" t="str">
        <f>IF(OR($G127="",W127=""),"",IF(AND(SUMIF(W$81:W127,G127&amp;" "&amp;H127,C$81:C127)&lt;20000,OR(COUNTIF(W$81:W127,G127&amp;" "&amp;H127)&gt;0,C127&gt;20000)),"",C127))</f>
        <v/>
      </c>
      <c r="G127" s="66"/>
      <c r="H127" s="52"/>
      <c r="I127" s="8"/>
      <c r="J127" s="80"/>
      <c r="K127" s="53" t="str">
        <f t="shared" si="252"/>
        <v/>
      </c>
      <c r="L127" s="8"/>
      <c r="M127" s="67" t="str">
        <f>IF(G127="","",'Vereine - Clubs'!$E$28)</f>
        <v/>
      </c>
      <c r="N127" s="40"/>
      <c r="O127" s="43" t="str">
        <f t="shared" si="253"/>
        <v/>
      </c>
      <c r="P127" s="39"/>
      <c r="Q127" s="39"/>
      <c r="R127" s="40"/>
      <c r="S127" s="51" t="str">
        <f>IF(G127="","",
IF(OR(VLOOKUP(M127,'Vereine - Clubs'!E:H,4,0)="Nein",VLOOKUP(M127,'Vereine - Clubs'!E:H,4,0)="No",VLOOKUP(M127,'Vereine - Clubs'!E:H,4,0)="",VLOOKUP(M127,'Vereine - Clubs'!E:H,4,0)="nein",VLOOKUP(M127,'Vereine - Clubs'!E:H,4,0)="no",VLOOKUP(M127,'Vereine - Clubs'!E:H,4,0)=""),"","x"))</f>
        <v/>
      </c>
      <c r="T127" s="66" t="str">
        <f>IF(COUNTIF(T$81:T126,G127&amp;" "&amp;H127)=0,"",VLOOKUP(G127&amp;" "&amp;H127,$AA$5:$AC$80,3,FALSE))</f>
        <v/>
      </c>
      <c r="U127" s="53" t="str">
        <f t="shared" si="259"/>
        <v/>
      </c>
      <c r="V127" s="53" t="str">
        <f t="shared" si="254"/>
        <v/>
      </c>
      <c r="W127" s="52" t="str">
        <f>IF(COUNTIF(W$81:W126,G127&amp;" "&amp;H127)=0,"",VLOOKUP(G127&amp;" "&amp;H127,$AB$5:$AC$80,2,FALSE))</f>
        <v/>
      </c>
      <c r="X127" s="53" t="str">
        <f t="shared" si="257"/>
        <v/>
      </c>
      <c r="Y127" s="54" t="str">
        <f t="shared" si="255"/>
        <v/>
      </c>
      <c r="Z127" s="21" t="str">
        <f>IF(T127="","",IF(OR(T127="searching for partner",T127="Freimeldung",T127="x-partner"),"",IF(ISERROR(VLOOKUP(T127,$F$5:$AT$80,1,0)),IF(Englisch&lt;&gt;"","Please add double partner as participant.     ","Doppelpartner/in bitte noch als Teilnehmer eintragen.     "),IF(VLOOKUP(T127,$F$5:$R$80,4,0)=I127,"",IF(Englisch&lt;&gt;"","Wrong doubles partner     ","Falsche/r Doppelpartner/in     ")))))
&amp;IF(W127="","",IF(OR(W127="searching for partner",W127="Freimeldung",W127="x-partner"),"",IF(ISERROR(VLOOKUP(W127,$F$5:$AT$80,1,0)),IF(Englisch&lt;&gt;"","Please add mixed partner as participant     ","Mixedpartner/in bitte noch als Teilnehmer eintragen.     "),IF(VLOOKUP(W127,$F$5:$R$80,4,0)&lt;&gt;I127,"",IF(Englisch&lt;&gt;"","Wrong mixed partner.     ","Falsche/r Mixedpartner/in     ")))))
&amp;IF(AND(L127&lt;&gt;"",L127&lt;&gt;"A",L127&lt;&gt;"B",L127&lt;&gt;"C",L127&lt;&gt;"D"),IF(Englisch&lt;&gt;"","There is level A,B and C.   ","Dieses Jahr gibt es A-, B- und C-Klassen. Bitte korrigieren.   "),"")
&amp;
IF(AND(L127="B",OR(K127=911)),IF(Englisch&lt;&gt;"","There ist no level B in this age group. Please play in A.   ","In dieser Altersklasse keine B-Klasse. Bitte spiele in A.  "),"")&amp;
IF(AND(L127="A",OR(K127=915,K127=917,K127=919)),IF(Englisch&lt;&gt;"","There ist no level A in this age group. Please play in B.   ","In dieser Altersklasse keine A-Klasse. Bitte spiele in B.  "),"")
&amp;
IF(AND(M127&lt;&gt;"",COUNTIF('Vereine - Clubs'!$E$28:$E$47,M127)=0),IF(Englisch&lt;&gt;"","Please check club   ","Bitte den Verein überprüfen.   "),"")
&amp;
IF(AND(N127="",OR(AND(K127=11,L127="a"),AND(K127=13,L127="a"))),IFERROR(IF(VLOOKUP(M127,Vereine,4,0)="Nein","",IF(Englisch&lt;&gt;"","Please fill in turnier.de player ID   ","Bitte Spielernummer Turnier.de eintragen.   ")),""),"")
&amp;
IF(M127="","",IF(AND(VLOOKUP(M127,'Vereine - Clubs'!$E:$H,4,0)="Nein",'Teilnehmende - Starters'!S127="x"),IF(Englisch&lt;&gt;"","You can enter singles only if you pay for them.    ","EInzelteilnahme nur bei Übernahme der Bezahlung möglich.    "),""))
&amp;
IF(AND($L127="",$G127&lt;&gt;"",OR($N127&lt;&gt;"",$T127&lt;&gt;"",$W127&lt;&gt;"")),IF(Englisch&lt;&gt;"","Please add the level.     ","Bitte Spielklasse ergänzen.     "),"")</f>
        <v/>
      </c>
      <c r="AA127" s="4">
        <f t="shared" si="260"/>
        <v>0</v>
      </c>
      <c r="AB127" s="4">
        <f t="shared" si="261"/>
        <v>0</v>
      </c>
    </row>
    <row r="128" spans="1:28" ht="15" customHeight="1" x14ac:dyDescent="0.3">
      <c r="A128" s="91" t="str">
        <f t="shared" si="251"/>
        <v/>
      </c>
      <c r="B128" s="10" t="str">
        <f>IF(G128="","",MAX(B$1:B127)+1)</f>
        <v/>
      </c>
      <c r="C128" s="10" t="str">
        <f>IF(B128="","",SUMIF('Vereine - Clubs'!$E$28:$E$47,M128,'Vereine - Clubs'!$C$28:$C$47)*100+B128)</f>
        <v/>
      </c>
      <c r="D128" s="10" t="str">
        <f t="shared" si="258"/>
        <v/>
      </c>
      <c r="E128" s="10" t="str">
        <f>IF(OR($G128="",T128=""),"",IF(AND(SUMIF(T$81:T128,G128&amp;" "&amp;H128,C$81:C128)&lt;20000,OR(COUNTIF(T$81:T128,G128&amp;" "&amp;H128)&gt;0,C128&gt;20000)),"",C128))</f>
        <v/>
      </c>
      <c r="F128" s="10" t="str">
        <f>IF(OR($G128="",W128=""),"",IF(AND(SUMIF(W$81:W128,G128&amp;" "&amp;H128,C$81:C128)&lt;20000,OR(COUNTIF(W$81:W128,G128&amp;" "&amp;H128)&gt;0,C128&gt;20000)),"",C128))</f>
        <v/>
      </c>
      <c r="G128" s="66"/>
      <c r="H128" s="52"/>
      <c r="I128" s="8"/>
      <c r="J128" s="80"/>
      <c r="K128" s="53" t="str">
        <f t="shared" si="252"/>
        <v/>
      </c>
      <c r="L128" s="8"/>
      <c r="M128" s="67" t="str">
        <f>IF(G128="","",'Vereine - Clubs'!$E$28)</f>
        <v/>
      </c>
      <c r="N128" s="40"/>
      <c r="O128" s="43" t="str">
        <f t="shared" si="253"/>
        <v/>
      </c>
      <c r="P128" s="39"/>
      <c r="Q128" s="39"/>
      <c r="R128" s="40"/>
      <c r="S128" s="51" t="str">
        <f>IF(G128="","",
IF(OR(VLOOKUP(M128,'Vereine - Clubs'!E:H,4,0)="Nein",VLOOKUP(M128,'Vereine - Clubs'!E:H,4,0)="No",VLOOKUP(M128,'Vereine - Clubs'!E:H,4,0)="",VLOOKUP(M128,'Vereine - Clubs'!E:H,4,0)="nein",VLOOKUP(M128,'Vereine - Clubs'!E:H,4,0)="no",VLOOKUP(M128,'Vereine - Clubs'!E:H,4,0)=""),"","x"))</f>
        <v/>
      </c>
      <c r="T128" s="66" t="str">
        <f>IF(COUNTIF(T$81:T127,G128&amp;" "&amp;H128)=0,"",VLOOKUP(G128&amp;" "&amp;H128,$AA$5:$AC$80,3,FALSE))</f>
        <v/>
      </c>
      <c r="U128" s="53" t="str">
        <f t="shared" si="259"/>
        <v/>
      </c>
      <c r="V128" s="53" t="str">
        <f t="shared" si="254"/>
        <v/>
      </c>
      <c r="W128" s="52" t="str">
        <f>IF(COUNTIF(W$81:W127,G128&amp;" "&amp;H128)=0,"",VLOOKUP(G128&amp;" "&amp;H128,$AB$5:$AC$80,2,FALSE))</f>
        <v/>
      </c>
      <c r="X128" s="53" t="str">
        <f t="shared" si="257"/>
        <v/>
      </c>
      <c r="Y128" s="54" t="str">
        <f t="shared" si="255"/>
        <v/>
      </c>
      <c r="Z128" s="21" t="str">
        <f>IF(T128="","",IF(OR(T128="searching for partner",T128="Freimeldung",T128="x-partner"),"",IF(ISERROR(VLOOKUP(T128,$F$5:$AT$80,1,0)),IF(Englisch&lt;&gt;"","Please add double partner as participant.     ","Doppelpartner/in bitte noch als Teilnehmer eintragen.     "),IF(VLOOKUP(T128,$F$5:$R$80,4,0)=I128,"",IF(Englisch&lt;&gt;"","Wrong doubles partner     ","Falsche/r Doppelpartner/in     ")))))
&amp;IF(W128="","",IF(OR(W128="searching for partner",W128="Freimeldung",W128="x-partner"),"",IF(ISERROR(VLOOKUP(W128,$F$5:$AT$80,1,0)),IF(Englisch&lt;&gt;"","Please add mixed partner as participant     ","Mixedpartner/in bitte noch als Teilnehmer eintragen.     "),IF(VLOOKUP(W128,$F$5:$R$80,4,0)&lt;&gt;I128,"",IF(Englisch&lt;&gt;"","Wrong mixed partner.     ","Falsche/r Mixedpartner/in     ")))))
&amp;IF(AND(L128&lt;&gt;"",L128&lt;&gt;"A",L128&lt;&gt;"B",L128&lt;&gt;"C",L128&lt;&gt;"D"),IF(Englisch&lt;&gt;"","There is level A,B and C.   ","Dieses Jahr gibt es A-, B- und C-Klassen. Bitte korrigieren.   "),"")
&amp;
IF(AND(L128="B",OR(K128=911)),IF(Englisch&lt;&gt;"","There ist no level B in this age group. Please play in A.   ","In dieser Altersklasse keine B-Klasse. Bitte spiele in A.  "),"")&amp;
IF(AND(L128="A",OR(K128=915,K128=917,K128=919)),IF(Englisch&lt;&gt;"","There ist no level A in this age group. Please play in B.   ","In dieser Altersklasse keine A-Klasse. Bitte spiele in B.  "),"")
&amp;
IF(AND(M128&lt;&gt;"",COUNTIF('Vereine - Clubs'!$E$28:$E$47,M128)=0),IF(Englisch&lt;&gt;"","Please check club   ","Bitte den Verein überprüfen.   "),"")
&amp;
IF(AND(N128="",OR(AND(K128=11,L128="a"),AND(K128=13,L128="a"))),IFERROR(IF(VLOOKUP(M128,Vereine,4,0)="Nein","",IF(Englisch&lt;&gt;"","Please fill in turnier.de player ID   ","Bitte Spielernummer Turnier.de eintragen.   ")),""),"")
&amp;
IF(M128="","",IF(AND(VLOOKUP(M128,'Vereine - Clubs'!$E:$H,4,0)="Nein",'Teilnehmende - Starters'!S128="x"),IF(Englisch&lt;&gt;"","You can enter singles only if you pay for them.    ","EInzelteilnahme nur bei Übernahme der Bezahlung möglich.    "),""))
&amp;
IF(AND($L128="",$G128&lt;&gt;"",OR($N128&lt;&gt;"",$T128&lt;&gt;"",$W128&lt;&gt;"")),IF(Englisch&lt;&gt;"","Please add the level.     ","Bitte Spielklasse ergänzen.     "),"")</f>
        <v/>
      </c>
      <c r="AA128" s="4">
        <f t="shared" si="260"/>
        <v>0</v>
      </c>
      <c r="AB128" s="4">
        <f t="shared" si="261"/>
        <v>0</v>
      </c>
    </row>
    <row r="129" spans="1:28" ht="15" customHeight="1" x14ac:dyDescent="0.3">
      <c r="A129" s="91" t="str">
        <f t="shared" si="251"/>
        <v/>
      </c>
      <c r="B129" s="10" t="str">
        <f>IF(G129="","",MAX(B$1:B128)+1)</f>
        <v/>
      </c>
      <c r="C129" s="10" t="str">
        <f>IF(B129="","",SUMIF('Vereine - Clubs'!$E$28:$E$47,M129,'Vereine - Clubs'!$C$28:$C$47)*100+B129)</f>
        <v/>
      </c>
      <c r="D129" s="10" t="str">
        <f t="shared" si="258"/>
        <v/>
      </c>
      <c r="E129" s="10" t="str">
        <f>IF(OR($G129="",T129=""),"",IF(AND(SUMIF(T$81:T129,G129&amp;" "&amp;H129,C$81:C129)&lt;20000,OR(COUNTIF(T$81:T129,G129&amp;" "&amp;H129)&gt;0,C129&gt;20000)),"",C129))</f>
        <v/>
      </c>
      <c r="F129" s="10" t="str">
        <f>IF(OR($G129="",W129=""),"",IF(AND(SUMIF(W$81:W129,G129&amp;" "&amp;H129,C$81:C129)&lt;20000,OR(COUNTIF(W$81:W129,G129&amp;" "&amp;H129)&gt;0,C129&gt;20000)),"",C129))</f>
        <v/>
      </c>
      <c r="G129" s="66"/>
      <c r="H129" s="52"/>
      <c r="I129" s="8"/>
      <c r="J129" s="80"/>
      <c r="K129" s="53" t="str">
        <f t="shared" si="252"/>
        <v/>
      </c>
      <c r="L129" s="8"/>
      <c r="M129" s="67" t="str">
        <f>IF(G129="","",'Vereine - Clubs'!$E$28)</f>
        <v/>
      </c>
      <c r="N129" s="40"/>
      <c r="O129" s="43" t="str">
        <f t="shared" si="253"/>
        <v/>
      </c>
      <c r="P129" s="39"/>
      <c r="Q129" s="39"/>
      <c r="R129" s="40"/>
      <c r="S129" s="51" t="str">
        <f>IF(G129="","",
IF(OR(VLOOKUP(M129,'Vereine - Clubs'!E:H,4,0)="Nein",VLOOKUP(M129,'Vereine - Clubs'!E:H,4,0)="No",VLOOKUP(M129,'Vereine - Clubs'!E:H,4,0)="",VLOOKUP(M129,'Vereine - Clubs'!E:H,4,0)="nein",VLOOKUP(M129,'Vereine - Clubs'!E:H,4,0)="no",VLOOKUP(M129,'Vereine - Clubs'!E:H,4,0)=""),"","x"))</f>
        <v/>
      </c>
      <c r="T129" s="66" t="str">
        <f>IF(COUNTIF(T$81:T128,G129&amp;" "&amp;H129)=0,"",VLOOKUP(G129&amp;" "&amp;H129,$AA$5:$AC$80,3,FALSE))</f>
        <v/>
      </c>
      <c r="U129" s="53" t="str">
        <f t="shared" si="259"/>
        <v/>
      </c>
      <c r="V129" s="53" t="str">
        <f t="shared" si="254"/>
        <v/>
      </c>
      <c r="W129" s="52" t="str">
        <f>IF(COUNTIF(W$81:W128,G129&amp;" "&amp;H129)=0,"",VLOOKUP(G129&amp;" "&amp;H129,$AB$5:$AC$80,2,FALSE))</f>
        <v/>
      </c>
      <c r="X129" s="53" t="str">
        <f t="shared" si="257"/>
        <v/>
      </c>
      <c r="Y129" s="54" t="str">
        <f t="shared" si="255"/>
        <v/>
      </c>
      <c r="Z129" s="21" t="str">
        <f>IF(T129="","",IF(OR(T129="searching for partner",T129="Freimeldung",T129="x-partner"),"",IF(ISERROR(VLOOKUP(T129,$F$5:$AT$80,1,0)),IF(Englisch&lt;&gt;"","Please add double partner as participant.     ","Doppelpartner/in bitte noch als Teilnehmer eintragen.     "),IF(VLOOKUP(T129,$F$5:$R$80,4,0)=I129,"",IF(Englisch&lt;&gt;"","Wrong doubles partner     ","Falsche/r Doppelpartner/in     ")))))
&amp;IF(W129="","",IF(OR(W129="searching for partner",W129="Freimeldung",W129="x-partner"),"",IF(ISERROR(VLOOKUP(W129,$F$5:$AT$80,1,0)),IF(Englisch&lt;&gt;"","Please add mixed partner as participant     ","Mixedpartner/in bitte noch als Teilnehmer eintragen.     "),IF(VLOOKUP(W129,$F$5:$R$80,4,0)&lt;&gt;I129,"",IF(Englisch&lt;&gt;"","Wrong mixed partner.     ","Falsche/r Mixedpartner/in     ")))))
&amp;IF(AND(L129&lt;&gt;"",L129&lt;&gt;"A",L129&lt;&gt;"B",L129&lt;&gt;"C",L129&lt;&gt;"D"),IF(Englisch&lt;&gt;"","There is level A,B and C.   ","Dieses Jahr gibt es A-, B- und C-Klassen. Bitte korrigieren.   "),"")
&amp;
IF(AND(L129="B",OR(K129=911)),IF(Englisch&lt;&gt;"","There ist no level B in this age group. Please play in A.   ","In dieser Altersklasse keine B-Klasse. Bitte spiele in A.  "),"")&amp;
IF(AND(L129="A",OR(K129=915,K129=917,K129=919)),IF(Englisch&lt;&gt;"","There ist no level A in this age group. Please play in B.   ","In dieser Altersklasse keine A-Klasse. Bitte spiele in B.  "),"")
&amp;
IF(AND(M129&lt;&gt;"",COUNTIF('Vereine - Clubs'!$E$28:$E$47,M129)=0),IF(Englisch&lt;&gt;"","Please check club   ","Bitte den Verein überprüfen.   "),"")
&amp;
IF(AND(N129="",OR(AND(K129=11,L129="a"),AND(K129=13,L129="a"))),IFERROR(IF(VLOOKUP(M129,Vereine,4,0)="Nein","",IF(Englisch&lt;&gt;"","Please fill in turnier.de player ID   ","Bitte Spielernummer Turnier.de eintragen.   ")),""),"")
&amp;
IF(M129="","",IF(AND(VLOOKUP(M129,'Vereine - Clubs'!$E:$H,4,0)="Nein",'Teilnehmende - Starters'!S129="x"),IF(Englisch&lt;&gt;"","You can enter singles only if you pay for them.    ","EInzelteilnahme nur bei Übernahme der Bezahlung möglich.    "),""))
&amp;
IF(AND($L129="",$G129&lt;&gt;"",OR($N129&lt;&gt;"",$T129&lt;&gt;"",$W129&lt;&gt;"")),IF(Englisch&lt;&gt;"","Please add the level.     ","Bitte Spielklasse ergänzen.     "),"")</f>
        <v/>
      </c>
      <c r="AA129" s="4">
        <f t="shared" si="260"/>
        <v>0</v>
      </c>
      <c r="AB129" s="4">
        <f t="shared" si="261"/>
        <v>0</v>
      </c>
    </row>
    <row r="130" spans="1:28" ht="15" customHeight="1" x14ac:dyDescent="0.3">
      <c r="A130" s="91" t="str">
        <f t="shared" si="251"/>
        <v/>
      </c>
      <c r="B130" s="10" t="str">
        <f>IF(G130="","",MAX(B$1:B129)+1)</f>
        <v/>
      </c>
      <c r="C130" s="10" t="str">
        <f>IF(B130="","",SUMIF('Vereine - Clubs'!$E$28:$E$47,M130,'Vereine - Clubs'!$C$28:$C$47)*100+B130)</f>
        <v/>
      </c>
      <c r="D130" s="10" t="str">
        <f t="shared" si="258"/>
        <v/>
      </c>
      <c r="E130" s="10" t="str">
        <f>IF(OR($G130="",T130=""),"",IF(AND(SUMIF(T$81:T130,G130&amp;" "&amp;H130,C$81:C130)&lt;20000,OR(COUNTIF(T$81:T130,G130&amp;" "&amp;H130)&gt;0,C130&gt;20000)),"",C130))</f>
        <v/>
      </c>
      <c r="F130" s="10" t="str">
        <f>IF(OR($G130="",W130=""),"",IF(AND(SUMIF(W$81:W130,G130&amp;" "&amp;H130,C$81:C130)&lt;20000,OR(COUNTIF(W$81:W130,G130&amp;" "&amp;H130)&gt;0,C130&gt;20000)),"",C130))</f>
        <v/>
      </c>
      <c r="G130" s="66"/>
      <c r="H130" s="52"/>
      <c r="I130" s="8"/>
      <c r="J130" s="80"/>
      <c r="K130" s="53" t="str">
        <f t="shared" si="252"/>
        <v/>
      </c>
      <c r="L130" s="8"/>
      <c r="M130" s="67" t="str">
        <f>IF(G130="","",'Vereine - Clubs'!$E$28)</f>
        <v/>
      </c>
      <c r="N130" s="40"/>
      <c r="O130" s="43" t="str">
        <f t="shared" si="253"/>
        <v/>
      </c>
      <c r="P130" s="39"/>
      <c r="Q130" s="39"/>
      <c r="R130" s="40"/>
      <c r="S130" s="51" t="str">
        <f>IF(G130="","",
IF(OR(VLOOKUP(M130,'Vereine - Clubs'!E:H,4,0)="Nein",VLOOKUP(M130,'Vereine - Clubs'!E:H,4,0)="No",VLOOKUP(M130,'Vereine - Clubs'!E:H,4,0)="",VLOOKUP(M130,'Vereine - Clubs'!E:H,4,0)="nein",VLOOKUP(M130,'Vereine - Clubs'!E:H,4,0)="no",VLOOKUP(M130,'Vereine - Clubs'!E:H,4,0)=""),"","x"))</f>
        <v/>
      </c>
      <c r="T130" s="66" t="str">
        <f>IF(COUNTIF(T$81:T129,G130&amp;" "&amp;H130)=0,"",VLOOKUP(G130&amp;" "&amp;H130,$AA$5:$AC$80,3,FALSE))</f>
        <v/>
      </c>
      <c r="U130" s="53" t="str">
        <f t="shared" si="259"/>
        <v/>
      </c>
      <c r="V130" s="53" t="str">
        <f t="shared" si="254"/>
        <v/>
      </c>
      <c r="W130" s="52" t="str">
        <f>IF(COUNTIF(W$81:W129,G130&amp;" "&amp;H130)=0,"",VLOOKUP(G130&amp;" "&amp;H130,$AB$5:$AC$80,2,FALSE))</f>
        <v/>
      </c>
      <c r="X130" s="53" t="str">
        <f t="shared" si="257"/>
        <v/>
      </c>
      <c r="Y130" s="54" t="str">
        <f t="shared" si="255"/>
        <v/>
      </c>
      <c r="Z130" s="21" t="str">
        <f>IF(T130="","",IF(OR(T130="searching for partner",T130="Freimeldung",T130="x-partner"),"",IF(ISERROR(VLOOKUP(T130,$F$5:$AT$80,1,0)),IF(Englisch&lt;&gt;"","Please add double partner as participant.     ","Doppelpartner/in bitte noch als Teilnehmer eintragen.     "),IF(VLOOKUP(T130,$F$5:$R$80,4,0)=I130,"",IF(Englisch&lt;&gt;"","Wrong doubles partner     ","Falsche/r Doppelpartner/in     ")))))
&amp;IF(W130="","",IF(OR(W130="searching for partner",W130="Freimeldung",W130="x-partner"),"",IF(ISERROR(VLOOKUP(W130,$F$5:$AT$80,1,0)),IF(Englisch&lt;&gt;"","Please add mixed partner as participant     ","Mixedpartner/in bitte noch als Teilnehmer eintragen.     "),IF(VLOOKUP(W130,$F$5:$R$80,4,0)&lt;&gt;I130,"",IF(Englisch&lt;&gt;"","Wrong mixed partner.     ","Falsche/r Mixedpartner/in     ")))))
&amp;IF(AND(L130&lt;&gt;"",L130&lt;&gt;"A",L130&lt;&gt;"B",L130&lt;&gt;"C",L130&lt;&gt;"D"),IF(Englisch&lt;&gt;"","There is level A,B and C.   ","Dieses Jahr gibt es A-, B- und C-Klassen. Bitte korrigieren.   "),"")
&amp;
IF(AND(L130="B",OR(K130=911)),IF(Englisch&lt;&gt;"","There ist no level B in this age group. Please play in A.   ","In dieser Altersklasse keine B-Klasse. Bitte spiele in A.  "),"")&amp;
IF(AND(L130="A",OR(K130=915,K130=917,K130=919)),IF(Englisch&lt;&gt;"","There ist no level A in this age group. Please play in B.   ","In dieser Altersklasse keine A-Klasse. Bitte spiele in B.  "),"")
&amp;
IF(AND(M130&lt;&gt;"",COUNTIF('Vereine - Clubs'!$E$28:$E$47,M130)=0),IF(Englisch&lt;&gt;"","Please check club   ","Bitte den Verein überprüfen.   "),"")
&amp;
IF(AND(N130="",OR(AND(K130=11,L130="a"),AND(K130=13,L130="a"))),IFERROR(IF(VLOOKUP(M130,Vereine,4,0)="Nein","",IF(Englisch&lt;&gt;"","Please fill in turnier.de player ID   ","Bitte Spielernummer Turnier.de eintragen.   ")),""),"")
&amp;
IF(M130="","",IF(AND(VLOOKUP(M130,'Vereine - Clubs'!$E:$H,4,0)="Nein",'Teilnehmende - Starters'!S130="x"),IF(Englisch&lt;&gt;"","You can enter singles only if you pay for them.    ","EInzelteilnahme nur bei Übernahme der Bezahlung möglich.    "),""))
&amp;
IF(AND($L130="",$G130&lt;&gt;"",OR($N130&lt;&gt;"",$T130&lt;&gt;"",$W130&lt;&gt;"")),IF(Englisch&lt;&gt;"","Please add the level.     ","Bitte Spielklasse ergänzen.     "),"")</f>
        <v/>
      </c>
      <c r="AA130" s="4">
        <f t="shared" si="260"/>
        <v>0</v>
      </c>
      <c r="AB130" s="4">
        <f t="shared" si="261"/>
        <v>0</v>
      </c>
    </row>
    <row r="131" spans="1:28" ht="15" customHeight="1" x14ac:dyDescent="0.3">
      <c r="A131" s="91" t="str">
        <f t="shared" si="251"/>
        <v/>
      </c>
      <c r="B131" s="10" t="str">
        <f>IF(G131="","",MAX(B$1:B130)+1)</f>
        <v/>
      </c>
      <c r="C131" s="10" t="str">
        <f>IF(B131="","",SUMIF('Vereine - Clubs'!$E$28:$E$47,M131,'Vereine - Clubs'!$C$28:$C$47)*100+B131)</f>
        <v/>
      </c>
      <c r="D131" s="10" t="str">
        <f t="shared" si="258"/>
        <v/>
      </c>
      <c r="E131" s="10" t="str">
        <f>IF(OR($G131="",T131=""),"",IF(AND(SUMIF(T$81:T131,G131&amp;" "&amp;H131,C$81:C131)&lt;20000,OR(COUNTIF(T$81:T131,G131&amp;" "&amp;H131)&gt;0,C131&gt;20000)),"",C131))</f>
        <v/>
      </c>
      <c r="F131" s="10" t="str">
        <f>IF(OR($G131="",W131=""),"",IF(AND(SUMIF(W$81:W131,G131&amp;" "&amp;H131,C$81:C131)&lt;20000,OR(COUNTIF(W$81:W131,G131&amp;" "&amp;H131)&gt;0,C131&gt;20000)),"",C131))</f>
        <v/>
      </c>
      <c r="G131" s="66"/>
      <c r="H131" s="52"/>
      <c r="I131" s="8"/>
      <c r="J131" s="80"/>
      <c r="K131" s="53" t="str">
        <f t="shared" si="252"/>
        <v/>
      </c>
      <c r="L131" s="8"/>
      <c r="M131" s="67" t="str">
        <f>IF(G131="","",'Vereine - Clubs'!$E$28)</f>
        <v/>
      </c>
      <c r="N131" s="40"/>
      <c r="O131" s="43" t="str">
        <f t="shared" si="253"/>
        <v/>
      </c>
      <c r="P131" s="39"/>
      <c r="Q131" s="39"/>
      <c r="R131" s="40"/>
      <c r="S131" s="51" t="str">
        <f>IF(G131="","",
IF(OR(VLOOKUP(M131,'Vereine - Clubs'!E:H,4,0)="Nein",VLOOKUP(M131,'Vereine - Clubs'!E:H,4,0)="No",VLOOKUP(M131,'Vereine - Clubs'!E:H,4,0)="",VLOOKUP(M131,'Vereine - Clubs'!E:H,4,0)="nein",VLOOKUP(M131,'Vereine - Clubs'!E:H,4,0)="no",VLOOKUP(M131,'Vereine - Clubs'!E:H,4,0)=""),"","x"))</f>
        <v/>
      </c>
      <c r="T131" s="66" t="str">
        <f>IF(COUNTIF(T$81:T130,G131&amp;" "&amp;H131)=0,"",VLOOKUP(G131&amp;" "&amp;H131,$AA$5:$AC$80,3,FALSE))</f>
        <v/>
      </c>
      <c r="U131" s="53" t="str">
        <f t="shared" si="259"/>
        <v/>
      </c>
      <c r="V131" s="53" t="str">
        <f t="shared" si="254"/>
        <v/>
      </c>
      <c r="W131" s="52" t="str">
        <f>IF(COUNTIF(W$81:W130,G131&amp;" "&amp;H131)=0,"",VLOOKUP(G131&amp;" "&amp;H131,$AB$5:$AC$80,2,FALSE))</f>
        <v/>
      </c>
      <c r="X131" s="53" t="str">
        <f t="shared" si="257"/>
        <v/>
      </c>
      <c r="Y131" s="54" t="str">
        <f t="shared" si="255"/>
        <v/>
      </c>
      <c r="Z131" s="21" t="str">
        <f>IF(T131="","",IF(OR(T131="searching for partner",T131="Freimeldung",T131="x-partner"),"",IF(ISERROR(VLOOKUP(T131,$F$5:$AT$80,1,0)),IF(Englisch&lt;&gt;"","Please add double partner as participant.     ","Doppelpartner/in bitte noch als Teilnehmer eintragen.     "),IF(VLOOKUP(T131,$F$5:$R$80,4,0)=I131,"",IF(Englisch&lt;&gt;"","Wrong doubles partner     ","Falsche/r Doppelpartner/in     ")))))
&amp;IF(W131="","",IF(OR(W131="searching for partner",W131="Freimeldung",W131="x-partner"),"",IF(ISERROR(VLOOKUP(W131,$F$5:$AT$80,1,0)),IF(Englisch&lt;&gt;"","Please add mixed partner as participant     ","Mixedpartner/in bitte noch als Teilnehmer eintragen.     "),IF(VLOOKUP(W131,$F$5:$R$80,4,0)&lt;&gt;I131,"",IF(Englisch&lt;&gt;"","Wrong mixed partner.     ","Falsche/r Mixedpartner/in     ")))))
&amp;IF(AND(L131&lt;&gt;"",L131&lt;&gt;"A",L131&lt;&gt;"B",L131&lt;&gt;"C",L131&lt;&gt;"D"),IF(Englisch&lt;&gt;"","There is level A,B and C.   ","Dieses Jahr gibt es A-, B- und C-Klassen. Bitte korrigieren.   "),"")
&amp;
IF(AND(L131="B",OR(K131=911)),IF(Englisch&lt;&gt;"","There ist no level B in this age group. Please play in A.   ","In dieser Altersklasse keine B-Klasse. Bitte spiele in A.  "),"")&amp;
IF(AND(L131="A",OR(K131=915,K131=917,K131=919)),IF(Englisch&lt;&gt;"","There ist no level A in this age group. Please play in B.   ","In dieser Altersklasse keine A-Klasse. Bitte spiele in B.  "),"")
&amp;
IF(AND(M131&lt;&gt;"",COUNTIF('Vereine - Clubs'!$E$28:$E$47,M131)=0),IF(Englisch&lt;&gt;"","Please check club   ","Bitte den Verein überprüfen.   "),"")
&amp;
IF(AND(N131="",OR(AND(K131=11,L131="a"),AND(K131=13,L131="a"))),IFERROR(IF(VLOOKUP(M131,Vereine,4,0)="Nein","",IF(Englisch&lt;&gt;"","Please fill in turnier.de player ID   ","Bitte Spielernummer Turnier.de eintragen.   ")),""),"")
&amp;
IF(M131="","",IF(AND(VLOOKUP(M131,'Vereine - Clubs'!$E:$H,4,0)="Nein",'Teilnehmende - Starters'!S131="x"),IF(Englisch&lt;&gt;"","You can enter singles only if you pay for them.    ","EInzelteilnahme nur bei Übernahme der Bezahlung möglich.    "),""))
&amp;
IF(AND($L131="",$G131&lt;&gt;"",OR($N131&lt;&gt;"",$T131&lt;&gt;"",$W131&lt;&gt;"")),IF(Englisch&lt;&gt;"","Please add the level.     ","Bitte Spielklasse ergänzen.     "),"")</f>
        <v/>
      </c>
      <c r="AA131" s="4">
        <f t="shared" si="260"/>
        <v>0</v>
      </c>
      <c r="AB131" s="4">
        <f t="shared" si="261"/>
        <v>0</v>
      </c>
    </row>
    <row r="132" spans="1:28" ht="15" customHeight="1" x14ac:dyDescent="0.3">
      <c r="A132" s="91" t="str">
        <f t="shared" si="251"/>
        <v/>
      </c>
      <c r="B132" s="10" t="str">
        <f>IF(G132="","",MAX(B$1:B131)+1)</f>
        <v/>
      </c>
      <c r="C132" s="10" t="str">
        <f>IF(B132="","",SUMIF('Vereine - Clubs'!$E$28:$E$47,M132,'Vereine - Clubs'!$C$28:$C$47)*100+B132)</f>
        <v/>
      </c>
      <c r="D132" s="10" t="str">
        <f t="shared" si="258"/>
        <v/>
      </c>
      <c r="E132" s="10" t="str">
        <f>IF(OR($G132="",T132=""),"",IF(AND(SUMIF(T$81:T132,G132&amp;" "&amp;H132,C$81:C132)&lt;20000,OR(COUNTIF(T$81:T132,G132&amp;" "&amp;H132)&gt;0,C132&gt;20000)),"",C132))</f>
        <v/>
      </c>
      <c r="F132" s="10" t="str">
        <f>IF(OR($G132="",W132=""),"",IF(AND(SUMIF(W$81:W132,G132&amp;" "&amp;H132,C$81:C132)&lt;20000,OR(COUNTIF(W$81:W132,G132&amp;" "&amp;H132)&gt;0,C132&gt;20000)),"",C132))</f>
        <v/>
      </c>
      <c r="G132" s="66"/>
      <c r="H132" s="52"/>
      <c r="I132" s="8"/>
      <c r="J132" s="80"/>
      <c r="K132" s="53" t="str">
        <f t="shared" si="252"/>
        <v/>
      </c>
      <c r="L132" s="8"/>
      <c r="M132" s="67" t="str">
        <f>IF(G132="","",'Vereine - Clubs'!$E$28)</f>
        <v/>
      </c>
      <c r="N132" s="40"/>
      <c r="O132" s="43" t="str">
        <f t="shared" si="253"/>
        <v/>
      </c>
      <c r="P132" s="39"/>
      <c r="Q132" s="39"/>
      <c r="R132" s="40"/>
      <c r="S132" s="51" t="str">
        <f>IF(G132="","",
IF(OR(VLOOKUP(M132,'Vereine - Clubs'!E:H,4,0)="Nein",VLOOKUP(M132,'Vereine - Clubs'!E:H,4,0)="No",VLOOKUP(M132,'Vereine - Clubs'!E:H,4,0)="",VLOOKUP(M132,'Vereine - Clubs'!E:H,4,0)="nein",VLOOKUP(M132,'Vereine - Clubs'!E:H,4,0)="no",VLOOKUP(M132,'Vereine - Clubs'!E:H,4,0)=""),"","x"))</f>
        <v/>
      </c>
      <c r="T132" s="66" t="str">
        <f>IF(COUNTIF(T$81:T131,G132&amp;" "&amp;H132)=0,"",VLOOKUP(G132&amp;" "&amp;H132,$AA$5:$AC$80,3,FALSE))</f>
        <v/>
      </c>
      <c r="U132" s="53" t="str">
        <f t="shared" si="259"/>
        <v/>
      </c>
      <c r="V132" s="53" t="str">
        <f t="shared" si="254"/>
        <v/>
      </c>
      <c r="W132" s="52" t="str">
        <f>IF(COUNTIF(W$81:W131,G132&amp;" "&amp;H132)=0,"",VLOOKUP(G132&amp;" "&amp;H132,$AB$5:$AC$80,2,FALSE))</f>
        <v/>
      </c>
      <c r="X132" s="53" t="str">
        <f t="shared" si="257"/>
        <v/>
      </c>
      <c r="Y132" s="54" t="str">
        <f t="shared" si="255"/>
        <v/>
      </c>
      <c r="Z132" s="21" t="str">
        <f>IF(T132="","",IF(OR(T132="searching for partner",T132="Freimeldung",T132="x-partner"),"",IF(ISERROR(VLOOKUP(T132,$F$5:$AT$80,1,0)),IF(Englisch&lt;&gt;"","Please add double partner as participant.     ","Doppelpartner/in bitte noch als Teilnehmer eintragen.     "),IF(VLOOKUP(T132,$F$5:$R$80,4,0)=I132,"",IF(Englisch&lt;&gt;"","Wrong doubles partner     ","Falsche/r Doppelpartner/in     ")))))
&amp;IF(W132="","",IF(OR(W132="searching for partner",W132="Freimeldung",W132="x-partner"),"",IF(ISERROR(VLOOKUP(W132,$F$5:$AT$80,1,0)),IF(Englisch&lt;&gt;"","Please add mixed partner as participant     ","Mixedpartner/in bitte noch als Teilnehmer eintragen.     "),IF(VLOOKUP(W132,$F$5:$R$80,4,0)&lt;&gt;I132,"",IF(Englisch&lt;&gt;"","Wrong mixed partner.     ","Falsche/r Mixedpartner/in     ")))))
&amp;IF(AND(L132&lt;&gt;"",L132&lt;&gt;"A",L132&lt;&gt;"B",L132&lt;&gt;"C",L132&lt;&gt;"D"),IF(Englisch&lt;&gt;"","There is level A,B and C.   ","Dieses Jahr gibt es A-, B- und C-Klassen. Bitte korrigieren.   "),"")
&amp;
IF(AND(L132="B",OR(K132=911)),IF(Englisch&lt;&gt;"","There ist no level B in this age group. Please play in A.   ","In dieser Altersklasse keine B-Klasse. Bitte spiele in A.  "),"")&amp;
IF(AND(L132="A",OR(K132=915,K132=917,K132=919)),IF(Englisch&lt;&gt;"","There ist no level A in this age group. Please play in B.   ","In dieser Altersklasse keine A-Klasse. Bitte spiele in B.  "),"")
&amp;
IF(AND(M132&lt;&gt;"",COUNTIF('Vereine - Clubs'!$E$28:$E$47,M132)=0),IF(Englisch&lt;&gt;"","Please check club   ","Bitte den Verein überprüfen.   "),"")
&amp;
IF(AND(N132="",OR(AND(K132=11,L132="a"),AND(K132=13,L132="a"))),IFERROR(IF(VLOOKUP(M132,Vereine,4,0)="Nein","",IF(Englisch&lt;&gt;"","Please fill in turnier.de player ID   ","Bitte Spielernummer Turnier.de eintragen.   ")),""),"")
&amp;
IF(M132="","",IF(AND(VLOOKUP(M132,'Vereine - Clubs'!$E:$H,4,0)="Nein",'Teilnehmende - Starters'!S132="x"),IF(Englisch&lt;&gt;"","You can enter singles only if you pay for them.    ","EInzelteilnahme nur bei Übernahme der Bezahlung möglich.    "),""))
&amp;
IF(AND($L132="",$G132&lt;&gt;"",OR($N132&lt;&gt;"",$T132&lt;&gt;"",$W132&lt;&gt;"")),IF(Englisch&lt;&gt;"","Please add the level.     ","Bitte Spielklasse ergänzen.     "),"")</f>
        <v/>
      </c>
      <c r="AA132" s="4">
        <f t="shared" si="260"/>
        <v>0</v>
      </c>
      <c r="AB132" s="4">
        <f t="shared" si="261"/>
        <v>0</v>
      </c>
    </row>
    <row r="133" spans="1:28" ht="15" customHeight="1" x14ac:dyDescent="0.3">
      <c r="A133" s="91" t="str">
        <f t="shared" si="251"/>
        <v/>
      </c>
      <c r="B133" s="10" t="str">
        <f>IF(G133="","",MAX(B$1:B132)+1)</f>
        <v/>
      </c>
      <c r="C133" s="10" t="str">
        <f>IF(B133="","",SUMIF('Vereine - Clubs'!$E$28:$E$47,M133,'Vereine - Clubs'!$C$28:$C$47)*100+B133)</f>
        <v/>
      </c>
      <c r="D133" s="10" t="str">
        <f t="shared" si="258"/>
        <v/>
      </c>
      <c r="E133" s="10" t="str">
        <f>IF(OR($G133="",T133=""),"",IF(AND(SUMIF(T$81:T133,G133&amp;" "&amp;H133,C$81:C133)&lt;20000,OR(COUNTIF(T$81:T133,G133&amp;" "&amp;H133)&gt;0,C133&gt;20000)),"",C133))</f>
        <v/>
      </c>
      <c r="F133" s="10" t="str">
        <f>IF(OR($G133="",W133=""),"",IF(AND(SUMIF(W$81:W133,G133&amp;" "&amp;H133,C$81:C133)&lt;20000,OR(COUNTIF(W$81:W133,G133&amp;" "&amp;H133)&gt;0,C133&gt;20000)),"",C133))</f>
        <v/>
      </c>
      <c r="G133" s="66"/>
      <c r="H133" s="52"/>
      <c r="I133" s="8"/>
      <c r="J133" s="80"/>
      <c r="K133" s="53" t="str">
        <f t="shared" si="252"/>
        <v/>
      </c>
      <c r="L133" s="8"/>
      <c r="M133" s="67" t="str">
        <f>IF(G133="","",'Vereine - Clubs'!$E$28)</f>
        <v/>
      </c>
      <c r="N133" s="40"/>
      <c r="O133" s="43" t="str">
        <f t="shared" si="253"/>
        <v/>
      </c>
      <c r="P133" s="39"/>
      <c r="Q133" s="39"/>
      <c r="R133" s="40"/>
      <c r="S133" s="51" t="str">
        <f>IF(G133="","",
IF(OR(VLOOKUP(M133,'Vereine - Clubs'!E:H,4,0)="Nein",VLOOKUP(M133,'Vereine - Clubs'!E:H,4,0)="No",VLOOKUP(M133,'Vereine - Clubs'!E:H,4,0)="",VLOOKUP(M133,'Vereine - Clubs'!E:H,4,0)="nein",VLOOKUP(M133,'Vereine - Clubs'!E:H,4,0)="no",VLOOKUP(M133,'Vereine - Clubs'!E:H,4,0)=""),"","x"))</f>
        <v/>
      </c>
      <c r="T133" s="66" t="str">
        <f>IF(COUNTIF(T$81:T132,G133&amp;" "&amp;H133)=0,"",VLOOKUP(G133&amp;" "&amp;H133,$AA$5:$AC$80,3,FALSE))</f>
        <v/>
      </c>
      <c r="U133" s="53" t="str">
        <f t="shared" si="259"/>
        <v/>
      </c>
      <c r="V133" s="53" t="str">
        <f t="shared" si="254"/>
        <v/>
      </c>
      <c r="W133" s="52" t="str">
        <f>IF(COUNTIF(W$81:W132,G133&amp;" "&amp;H133)=0,"",VLOOKUP(G133&amp;" "&amp;H133,$AB$5:$AC$80,2,FALSE))</f>
        <v/>
      </c>
      <c r="X133" s="53" t="str">
        <f t="shared" si="257"/>
        <v/>
      </c>
      <c r="Y133" s="54" t="str">
        <f t="shared" si="255"/>
        <v/>
      </c>
      <c r="Z133" s="21" t="str">
        <f>IF(T133="","",IF(OR(T133="searching for partner",T133="Freimeldung",T133="x-partner"),"",IF(ISERROR(VLOOKUP(T133,$F$5:$AT$80,1,0)),IF(Englisch&lt;&gt;"","Please add double partner as participant.     ","Doppelpartner/in bitte noch als Teilnehmer eintragen.     "),IF(VLOOKUP(T133,$F$5:$R$80,4,0)=I133,"",IF(Englisch&lt;&gt;"","Wrong doubles partner     ","Falsche/r Doppelpartner/in     ")))))
&amp;IF(W133="","",IF(OR(W133="searching for partner",W133="Freimeldung",W133="x-partner"),"",IF(ISERROR(VLOOKUP(W133,$F$5:$AT$80,1,0)),IF(Englisch&lt;&gt;"","Please add mixed partner as participant     ","Mixedpartner/in bitte noch als Teilnehmer eintragen.     "),IF(VLOOKUP(W133,$F$5:$R$80,4,0)&lt;&gt;I133,"",IF(Englisch&lt;&gt;"","Wrong mixed partner.     ","Falsche/r Mixedpartner/in     ")))))
&amp;IF(AND(L133&lt;&gt;"",L133&lt;&gt;"A",L133&lt;&gt;"B",L133&lt;&gt;"C",L133&lt;&gt;"D"),IF(Englisch&lt;&gt;"","There is level A,B and C.   ","Dieses Jahr gibt es A-, B- und C-Klassen. Bitte korrigieren.   "),"")
&amp;
IF(AND(L133="B",OR(K133=911)),IF(Englisch&lt;&gt;"","There ist no level B in this age group. Please play in A.   ","In dieser Altersklasse keine B-Klasse. Bitte spiele in A.  "),"")&amp;
IF(AND(L133="A",OR(K133=915,K133=917,K133=919)),IF(Englisch&lt;&gt;"","There ist no level A in this age group. Please play in B.   ","In dieser Altersklasse keine A-Klasse. Bitte spiele in B.  "),"")
&amp;
IF(AND(M133&lt;&gt;"",COUNTIF('Vereine - Clubs'!$E$28:$E$47,M133)=0),IF(Englisch&lt;&gt;"","Please check club   ","Bitte den Verein überprüfen.   "),"")
&amp;
IF(AND(N133="",OR(AND(K133=11,L133="a"),AND(K133=13,L133="a"))),IFERROR(IF(VLOOKUP(M133,Vereine,4,0)="Nein","",IF(Englisch&lt;&gt;"","Please fill in turnier.de player ID   ","Bitte Spielernummer Turnier.de eintragen.   ")),""),"")
&amp;
IF(M133="","",IF(AND(VLOOKUP(M133,'Vereine - Clubs'!$E:$H,4,0)="Nein",'Teilnehmende - Starters'!S133="x"),IF(Englisch&lt;&gt;"","You can enter singles only if you pay for them.    ","EInzelteilnahme nur bei Übernahme der Bezahlung möglich.    "),""))
&amp;
IF(AND($L133="",$G133&lt;&gt;"",OR($N133&lt;&gt;"",$T133&lt;&gt;"",$W133&lt;&gt;"")),IF(Englisch&lt;&gt;"","Please add the level.     ","Bitte Spielklasse ergänzen.     "),"")</f>
        <v/>
      </c>
      <c r="AA133" s="4">
        <f t="shared" si="260"/>
        <v>0</v>
      </c>
      <c r="AB133" s="4">
        <f t="shared" si="261"/>
        <v>0</v>
      </c>
    </row>
    <row r="134" spans="1:28" ht="15" customHeight="1" x14ac:dyDescent="0.3">
      <c r="A134" s="91" t="str">
        <f t="shared" si="251"/>
        <v/>
      </c>
      <c r="B134" s="10" t="str">
        <f>IF(G134="","",MAX(B$1:B133)+1)</f>
        <v/>
      </c>
      <c r="C134" s="10" t="str">
        <f>IF(B134="","",SUMIF('Vereine - Clubs'!$E$28:$E$47,M134,'Vereine - Clubs'!$C$28:$C$47)*100+B134)</f>
        <v/>
      </c>
      <c r="D134" s="10" t="str">
        <f t="shared" si="258"/>
        <v/>
      </c>
      <c r="E134" s="10" t="str">
        <f>IF(OR($G134="",T134=""),"",IF(AND(SUMIF(T$81:T134,G134&amp;" "&amp;H134,C$81:C134)&lt;20000,OR(COUNTIF(T$81:T134,G134&amp;" "&amp;H134)&gt;0,C134&gt;20000)),"",C134))</f>
        <v/>
      </c>
      <c r="F134" s="10" t="str">
        <f>IF(OR($G134="",W134=""),"",IF(AND(SUMIF(W$81:W134,G134&amp;" "&amp;H134,C$81:C134)&lt;20000,OR(COUNTIF(W$81:W134,G134&amp;" "&amp;H134)&gt;0,C134&gt;20000)),"",C134))</f>
        <v/>
      </c>
      <c r="G134" s="66"/>
      <c r="H134" s="52"/>
      <c r="I134" s="8"/>
      <c r="J134" s="80"/>
      <c r="K134" s="53" t="str">
        <f t="shared" si="252"/>
        <v/>
      </c>
      <c r="L134" s="8"/>
      <c r="M134" s="67" t="str">
        <f>IF(G134="","",'Vereine - Clubs'!$E$28)</f>
        <v/>
      </c>
      <c r="N134" s="40"/>
      <c r="O134" s="43" t="str">
        <f t="shared" si="253"/>
        <v/>
      </c>
      <c r="P134" s="39"/>
      <c r="Q134" s="39"/>
      <c r="R134" s="40"/>
      <c r="S134" s="51" t="str">
        <f>IF(G134="","",
IF(OR(VLOOKUP(M134,'Vereine - Clubs'!E:H,4,0)="Nein",VLOOKUP(M134,'Vereine - Clubs'!E:H,4,0)="No",VLOOKUP(M134,'Vereine - Clubs'!E:H,4,0)="",VLOOKUP(M134,'Vereine - Clubs'!E:H,4,0)="nein",VLOOKUP(M134,'Vereine - Clubs'!E:H,4,0)="no",VLOOKUP(M134,'Vereine - Clubs'!E:H,4,0)=""),"","x"))</f>
        <v/>
      </c>
      <c r="T134" s="66" t="str">
        <f>IF(COUNTIF(T$81:T133,G134&amp;" "&amp;H134)=0,"",VLOOKUP(G134&amp;" "&amp;H134,$AA$5:$AC$80,3,FALSE))</f>
        <v/>
      </c>
      <c r="U134" s="53" t="str">
        <f t="shared" si="259"/>
        <v/>
      </c>
      <c r="V134" s="53" t="str">
        <f t="shared" si="254"/>
        <v/>
      </c>
      <c r="W134" s="52" t="str">
        <f>IF(COUNTIF(W$81:W133,G134&amp;" "&amp;H134)=0,"",VLOOKUP(G134&amp;" "&amp;H134,$AB$5:$AC$80,2,FALSE))</f>
        <v/>
      </c>
      <c r="X134" s="53" t="str">
        <f t="shared" si="257"/>
        <v/>
      </c>
      <c r="Y134" s="54" t="str">
        <f t="shared" si="255"/>
        <v/>
      </c>
      <c r="Z134" s="21" t="str">
        <f>IF(T134="","",IF(OR(T134="searching for partner",T134="Freimeldung",T134="x-partner"),"",IF(ISERROR(VLOOKUP(T134,$F$5:$AT$80,1,0)),IF(Englisch&lt;&gt;"","Please add double partner as participant.     ","Doppelpartner/in bitte noch als Teilnehmer eintragen.     "),IF(VLOOKUP(T134,$F$5:$R$80,4,0)=I134,"",IF(Englisch&lt;&gt;"","Wrong doubles partner     ","Falsche/r Doppelpartner/in     ")))))
&amp;IF(W134="","",IF(OR(W134="searching for partner",W134="Freimeldung",W134="x-partner"),"",IF(ISERROR(VLOOKUP(W134,$F$5:$AT$80,1,0)),IF(Englisch&lt;&gt;"","Please add mixed partner as participant     ","Mixedpartner/in bitte noch als Teilnehmer eintragen.     "),IF(VLOOKUP(W134,$F$5:$R$80,4,0)&lt;&gt;I134,"",IF(Englisch&lt;&gt;"","Wrong mixed partner.     ","Falsche/r Mixedpartner/in     ")))))
&amp;IF(AND(L134&lt;&gt;"",L134&lt;&gt;"A",L134&lt;&gt;"B",L134&lt;&gt;"C",L134&lt;&gt;"D"),IF(Englisch&lt;&gt;"","There is level A,B and C.   ","Dieses Jahr gibt es A-, B- und C-Klassen. Bitte korrigieren.   "),"")
&amp;
IF(AND(L134="B",OR(K134=911)),IF(Englisch&lt;&gt;"","There ist no level B in this age group. Please play in A.   ","In dieser Altersklasse keine B-Klasse. Bitte spiele in A.  "),"")&amp;
IF(AND(L134="A",OR(K134=915,K134=917,K134=919)),IF(Englisch&lt;&gt;"","There ist no level A in this age group. Please play in B.   ","In dieser Altersklasse keine A-Klasse. Bitte spiele in B.  "),"")
&amp;
IF(AND(M134&lt;&gt;"",COUNTIF('Vereine - Clubs'!$E$28:$E$47,M134)=0),IF(Englisch&lt;&gt;"","Please check club   ","Bitte den Verein überprüfen.   "),"")
&amp;
IF(AND(N134="",OR(AND(K134=11,L134="a"),AND(K134=13,L134="a"))),IFERROR(IF(VLOOKUP(M134,Vereine,4,0)="Nein","",IF(Englisch&lt;&gt;"","Please fill in turnier.de player ID   ","Bitte Spielernummer Turnier.de eintragen.   ")),""),"")
&amp;
IF(M134="","",IF(AND(VLOOKUP(M134,'Vereine - Clubs'!$E:$H,4,0)="Nein",'Teilnehmende - Starters'!S134="x"),IF(Englisch&lt;&gt;"","You can enter singles only if you pay for them.    ","EInzelteilnahme nur bei Übernahme der Bezahlung möglich.    "),""))
&amp;
IF(AND($L134="",$G134&lt;&gt;"",OR($N134&lt;&gt;"",$T134&lt;&gt;"",$W134&lt;&gt;"")),IF(Englisch&lt;&gt;"","Please add the level.     ","Bitte Spielklasse ergänzen.     "),"")</f>
        <v/>
      </c>
      <c r="AA134" s="4">
        <f t="shared" si="260"/>
        <v>0</v>
      </c>
      <c r="AB134" s="4">
        <f t="shared" si="261"/>
        <v>0</v>
      </c>
    </row>
    <row r="135" spans="1:28" ht="15" customHeight="1" x14ac:dyDescent="0.3">
      <c r="A135" s="91" t="str">
        <f t="shared" si="251"/>
        <v/>
      </c>
      <c r="B135" s="10" t="str">
        <f>IF(G135="","",MAX(B$1:B134)+1)</f>
        <v/>
      </c>
      <c r="C135" s="10" t="str">
        <f>IF(B135="","",SUMIF('Vereine - Clubs'!$E$28:$E$47,M135,'Vereine - Clubs'!$C$28:$C$47)*100+B135)</f>
        <v/>
      </c>
      <c r="D135" s="10" t="str">
        <f t="shared" si="258"/>
        <v/>
      </c>
      <c r="E135" s="10" t="str">
        <f>IF(OR($G135="",T135=""),"",IF(AND(SUMIF(T$81:T135,G135&amp;" "&amp;H135,C$81:C135)&lt;20000,OR(COUNTIF(T$81:T135,G135&amp;" "&amp;H135)&gt;0,C135&gt;20000)),"",C135))</f>
        <v/>
      </c>
      <c r="F135" s="10" t="str">
        <f>IF(OR($G135="",W135=""),"",IF(AND(SUMIF(W$81:W135,G135&amp;" "&amp;H135,C$81:C135)&lt;20000,OR(COUNTIF(W$81:W135,G135&amp;" "&amp;H135)&gt;0,C135&gt;20000)),"",C135))</f>
        <v/>
      </c>
      <c r="G135" s="66"/>
      <c r="H135" s="52"/>
      <c r="I135" s="8"/>
      <c r="J135" s="80"/>
      <c r="K135" s="53" t="str">
        <f t="shared" si="252"/>
        <v/>
      </c>
      <c r="L135" s="8"/>
      <c r="M135" s="67" t="str">
        <f>IF(G135="","",'Vereine - Clubs'!$E$28)</f>
        <v/>
      </c>
      <c r="N135" s="40"/>
      <c r="O135" s="43" t="str">
        <f t="shared" si="253"/>
        <v/>
      </c>
      <c r="P135" s="39"/>
      <c r="Q135" s="39"/>
      <c r="R135" s="40"/>
      <c r="S135" s="51" t="str">
        <f>IF(G135="","",
IF(OR(VLOOKUP(M135,'Vereine - Clubs'!E:H,4,0)="Nein",VLOOKUP(M135,'Vereine - Clubs'!E:H,4,0)="No",VLOOKUP(M135,'Vereine - Clubs'!E:H,4,0)="",VLOOKUP(M135,'Vereine - Clubs'!E:H,4,0)="nein",VLOOKUP(M135,'Vereine - Clubs'!E:H,4,0)="no",VLOOKUP(M135,'Vereine - Clubs'!E:H,4,0)=""),"","x"))</f>
        <v/>
      </c>
      <c r="T135" s="66" t="str">
        <f>IF(COUNTIF(T$81:T134,G135&amp;" "&amp;H135)=0,"",VLOOKUP(G135&amp;" "&amp;H135,$AA$5:$AC$80,3,FALSE))</f>
        <v/>
      </c>
      <c r="U135" s="53" t="str">
        <f t="shared" si="259"/>
        <v/>
      </c>
      <c r="V135" s="53" t="str">
        <f t="shared" si="254"/>
        <v/>
      </c>
      <c r="W135" s="52" t="str">
        <f>IF(COUNTIF(W$81:W134,G135&amp;" "&amp;H135)=0,"",VLOOKUP(G135&amp;" "&amp;H135,$AB$5:$AC$80,2,FALSE))</f>
        <v/>
      </c>
      <c r="X135" s="53" t="str">
        <f t="shared" si="257"/>
        <v/>
      </c>
      <c r="Y135" s="54" t="str">
        <f t="shared" si="255"/>
        <v/>
      </c>
      <c r="Z135" s="21" t="str">
        <f>IF(T135="","",IF(OR(T135="searching for partner",T135="Freimeldung",T135="x-partner"),"",IF(ISERROR(VLOOKUP(T135,$F$5:$AT$80,1,0)),IF(Englisch&lt;&gt;"","Please add double partner as participant.     ","Doppelpartner/in bitte noch als Teilnehmer eintragen.     "),IF(VLOOKUP(T135,$F$5:$R$80,4,0)=I135,"",IF(Englisch&lt;&gt;"","Wrong doubles partner     ","Falsche/r Doppelpartner/in     ")))))
&amp;IF(W135="","",IF(OR(W135="searching for partner",W135="Freimeldung",W135="x-partner"),"",IF(ISERROR(VLOOKUP(W135,$F$5:$AT$80,1,0)),IF(Englisch&lt;&gt;"","Please add mixed partner as participant     ","Mixedpartner/in bitte noch als Teilnehmer eintragen.     "),IF(VLOOKUP(W135,$F$5:$R$80,4,0)&lt;&gt;I135,"",IF(Englisch&lt;&gt;"","Wrong mixed partner.     ","Falsche/r Mixedpartner/in     ")))))
&amp;IF(AND(L135&lt;&gt;"",L135&lt;&gt;"A",L135&lt;&gt;"B",L135&lt;&gt;"C",L135&lt;&gt;"D"),IF(Englisch&lt;&gt;"","There is level A,B and C.   ","Dieses Jahr gibt es A-, B- und C-Klassen. Bitte korrigieren.   "),"")
&amp;
IF(AND(L135="B",OR(K135=911)),IF(Englisch&lt;&gt;"","There ist no level B in this age group. Please play in A.   ","In dieser Altersklasse keine B-Klasse. Bitte spiele in A.  "),"")&amp;
IF(AND(L135="A",OR(K135=915,K135=917,K135=919)),IF(Englisch&lt;&gt;"","There ist no level A in this age group. Please play in B.   ","In dieser Altersklasse keine A-Klasse. Bitte spiele in B.  "),"")
&amp;
IF(AND(M135&lt;&gt;"",COUNTIF('Vereine - Clubs'!$E$28:$E$47,M135)=0),IF(Englisch&lt;&gt;"","Please check club   ","Bitte den Verein überprüfen.   "),"")
&amp;
IF(AND(N135="",OR(AND(K135=11,L135="a"),AND(K135=13,L135="a"))),IFERROR(IF(VLOOKUP(M135,Vereine,4,0)="Nein","",IF(Englisch&lt;&gt;"","Please fill in turnier.de player ID   ","Bitte Spielernummer Turnier.de eintragen.   ")),""),"")
&amp;
IF(M135="","",IF(AND(VLOOKUP(M135,'Vereine - Clubs'!$E:$H,4,0)="Nein",'Teilnehmende - Starters'!S135="x"),IF(Englisch&lt;&gt;"","You can enter singles only if you pay for them.    ","EInzelteilnahme nur bei Übernahme der Bezahlung möglich.    "),""))
&amp;
IF(AND($L135="",$G135&lt;&gt;"",OR($N135&lt;&gt;"",$T135&lt;&gt;"",$W135&lt;&gt;"")),IF(Englisch&lt;&gt;"","Please add the level.     ","Bitte Spielklasse ergänzen.     "),"")</f>
        <v/>
      </c>
      <c r="AA135" s="4">
        <f t="shared" si="260"/>
        <v>0</v>
      </c>
      <c r="AB135" s="4">
        <f t="shared" si="261"/>
        <v>0</v>
      </c>
    </row>
    <row r="136" spans="1:28" ht="15" customHeight="1" x14ac:dyDescent="0.3">
      <c r="A136" s="91" t="str">
        <f t="shared" si="251"/>
        <v/>
      </c>
      <c r="B136" s="10" t="str">
        <f>IF(G136="","",MAX(B$1:B135)+1)</f>
        <v/>
      </c>
      <c r="C136" s="10" t="str">
        <f>IF(B136="","",SUMIF('Vereine - Clubs'!$E$28:$E$47,M136,'Vereine - Clubs'!$C$28:$C$47)*100+B136)</f>
        <v/>
      </c>
      <c r="D136" s="10" t="str">
        <f t="shared" si="258"/>
        <v/>
      </c>
      <c r="E136" s="10" t="str">
        <f>IF(OR($G136="",T136=""),"",IF(AND(SUMIF(T$81:T136,G136&amp;" "&amp;H136,C$81:C136)&lt;20000,OR(COUNTIF(T$81:T136,G136&amp;" "&amp;H136)&gt;0,C136&gt;20000)),"",C136))</f>
        <v/>
      </c>
      <c r="F136" s="10" t="str">
        <f>IF(OR($G136="",W136=""),"",IF(AND(SUMIF(W$81:W136,G136&amp;" "&amp;H136,C$81:C136)&lt;20000,OR(COUNTIF(W$81:W136,G136&amp;" "&amp;H136)&gt;0,C136&gt;20000)),"",C136))</f>
        <v/>
      </c>
      <c r="G136" s="66"/>
      <c r="H136" s="52"/>
      <c r="I136" s="8"/>
      <c r="J136" s="80"/>
      <c r="K136" s="53" t="str">
        <f t="shared" si="252"/>
        <v/>
      </c>
      <c r="L136" s="8"/>
      <c r="M136" s="67" t="str">
        <f>IF(G136="","",'Vereine - Clubs'!$E$28)</f>
        <v/>
      </c>
      <c r="N136" s="40"/>
      <c r="O136" s="43" t="str">
        <f t="shared" si="253"/>
        <v/>
      </c>
      <c r="P136" s="39"/>
      <c r="Q136" s="39"/>
      <c r="R136" s="40"/>
      <c r="S136" s="51" t="str">
        <f>IF(G136="","",
IF(OR(VLOOKUP(M136,'Vereine - Clubs'!E:H,4,0)="Nein",VLOOKUP(M136,'Vereine - Clubs'!E:H,4,0)="No",VLOOKUP(M136,'Vereine - Clubs'!E:H,4,0)="",VLOOKUP(M136,'Vereine - Clubs'!E:H,4,0)="nein",VLOOKUP(M136,'Vereine - Clubs'!E:H,4,0)="no",VLOOKUP(M136,'Vereine - Clubs'!E:H,4,0)=""),"","x"))</f>
        <v/>
      </c>
      <c r="T136" s="66" t="str">
        <f>IF(COUNTIF(T$81:T135,G136&amp;" "&amp;H136)=0,"",VLOOKUP(G136&amp;" "&amp;H136,$AA$5:$AC$80,3,FALSE))</f>
        <v/>
      </c>
      <c r="U136" s="53" t="str">
        <f t="shared" si="259"/>
        <v/>
      </c>
      <c r="V136" s="53" t="str">
        <f t="shared" si="254"/>
        <v/>
      </c>
      <c r="W136" s="52" t="str">
        <f>IF(COUNTIF(W$81:W135,G136&amp;" "&amp;H136)=0,"",VLOOKUP(G136&amp;" "&amp;H136,$AB$5:$AC$80,2,FALSE))</f>
        <v/>
      </c>
      <c r="X136" s="53" t="str">
        <f t="shared" si="257"/>
        <v/>
      </c>
      <c r="Y136" s="54" t="str">
        <f t="shared" si="255"/>
        <v/>
      </c>
      <c r="Z136" s="21" t="str">
        <f>IF(T136="","",IF(OR(T136="searching for partner",T136="Freimeldung",T136="x-partner"),"",IF(ISERROR(VLOOKUP(T136,$F$5:$AT$80,1,0)),IF(Englisch&lt;&gt;"","Please add double partner as participant.     ","Doppelpartner/in bitte noch als Teilnehmer eintragen.     "),IF(VLOOKUP(T136,$F$5:$R$80,4,0)=I136,"",IF(Englisch&lt;&gt;"","Wrong doubles partner     ","Falsche/r Doppelpartner/in     ")))))
&amp;IF(W136="","",IF(OR(W136="searching for partner",W136="Freimeldung",W136="x-partner"),"",IF(ISERROR(VLOOKUP(W136,$F$5:$AT$80,1,0)),IF(Englisch&lt;&gt;"","Please add mixed partner as participant     ","Mixedpartner/in bitte noch als Teilnehmer eintragen.     "),IF(VLOOKUP(W136,$F$5:$R$80,4,0)&lt;&gt;I136,"",IF(Englisch&lt;&gt;"","Wrong mixed partner.     ","Falsche/r Mixedpartner/in     ")))))
&amp;IF(AND(L136&lt;&gt;"",L136&lt;&gt;"A",L136&lt;&gt;"B",L136&lt;&gt;"C",L136&lt;&gt;"D"),IF(Englisch&lt;&gt;"","There is level A,B and C.   ","Dieses Jahr gibt es A-, B- und C-Klassen. Bitte korrigieren.   "),"")
&amp;
IF(AND(L136="B",OR(K136=911)),IF(Englisch&lt;&gt;"","There ist no level B in this age group. Please play in A.   ","In dieser Altersklasse keine B-Klasse. Bitte spiele in A.  "),"")&amp;
IF(AND(L136="A",OR(K136=915,K136=917,K136=919)),IF(Englisch&lt;&gt;"","There ist no level A in this age group. Please play in B.   ","In dieser Altersklasse keine A-Klasse. Bitte spiele in B.  "),"")
&amp;
IF(AND(M136&lt;&gt;"",COUNTIF('Vereine - Clubs'!$E$28:$E$47,M136)=0),IF(Englisch&lt;&gt;"","Please check club   ","Bitte den Verein überprüfen.   "),"")
&amp;
IF(AND(N136="",OR(AND(K136=11,L136="a"),AND(K136=13,L136="a"))),IFERROR(IF(VLOOKUP(M136,Vereine,4,0)="Nein","",IF(Englisch&lt;&gt;"","Please fill in turnier.de player ID   ","Bitte Spielernummer Turnier.de eintragen.   ")),""),"")
&amp;
IF(M136="","",IF(AND(VLOOKUP(M136,'Vereine - Clubs'!$E:$H,4,0)="Nein",'Teilnehmende - Starters'!S136="x"),IF(Englisch&lt;&gt;"","You can enter singles only if you pay for them.    ","EInzelteilnahme nur bei Übernahme der Bezahlung möglich.    "),""))
&amp;
IF(AND($L136="",$G136&lt;&gt;"",OR($N136&lt;&gt;"",$T136&lt;&gt;"",$W136&lt;&gt;"")),IF(Englisch&lt;&gt;"","Please add the level.     ","Bitte Spielklasse ergänzen.     "),"")</f>
        <v/>
      </c>
      <c r="AA136" s="4">
        <f t="shared" si="260"/>
        <v>0</v>
      </c>
      <c r="AB136" s="4">
        <f t="shared" si="261"/>
        <v>0</v>
      </c>
    </row>
    <row r="137" spans="1:28" ht="15" customHeight="1" x14ac:dyDescent="0.3">
      <c r="A137" s="91" t="str">
        <f t="shared" si="251"/>
        <v/>
      </c>
      <c r="B137" s="10" t="str">
        <f>IF(G137="","",MAX(B$1:B136)+1)</f>
        <v/>
      </c>
      <c r="C137" s="10" t="str">
        <f>IF(B137="","",SUMIF('Vereine - Clubs'!$E$28:$E$47,M137,'Vereine - Clubs'!$C$28:$C$47)*100+B137)</f>
        <v/>
      </c>
      <c r="D137" s="10" t="str">
        <f t="shared" si="258"/>
        <v/>
      </c>
      <c r="E137" s="10" t="str">
        <f>IF(OR($G137="",T137=""),"",IF(AND(SUMIF(T$81:T137,G137&amp;" "&amp;H137,C$81:C137)&lt;20000,OR(COUNTIF(T$81:T137,G137&amp;" "&amp;H137)&gt;0,C137&gt;20000)),"",C137))</f>
        <v/>
      </c>
      <c r="F137" s="10" t="str">
        <f>IF(OR($G137="",W137=""),"",IF(AND(SUMIF(W$81:W137,G137&amp;" "&amp;H137,C$81:C137)&lt;20000,OR(COUNTIF(W$81:W137,G137&amp;" "&amp;H137)&gt;0,C137&gt;20000)),"",C137))</f>
        <v/>
      </c>
      <c r="G137" s="66"/>
      <c r="H137" s="52"/>
      <c r="I137" s="8"/>
      <c r="J137" s="80"/>
      <c r="K137" s="53" t="str">
        <f t="shared" si="252"/>
        <v/>
      </c>
      <c r="L137" s="8"/>
      <c r="M137" s="67" t="str">
        <f>IF(G137="","",'Vereine - Clubs'!$E$28)</f>
        <v/>
      </c>
      <c r="N137" s="40"/>
      <c r="O137" s="43" t="str">
        <f t="shared" si="253"/>
        <v/>
      </c>
      <c r="P137" s="39"/>
      <c r="Q137" s="39"/>
      <c r="R137" s="40"/>
      <c r="S137" s="51" t="str">
        <f>IF(G137="","",
IF(OR(VLOOKUP(M137,'Vereine - Clubs'!E:H,4,0)="Nein",VLOOKUP(M137,'Vereine - Clubs'!E:H,4,0)="No",VLOOKUP(M137,'Vereine - Clubs'!E:H,4,0)="",VLOOKUP(M137,'Vereine - Clubs'!E:H,4,0)="nein",VLOOKUP(M137,'Vereine - Clubs'!E:H,4,0)="no",VLOOKUP(M137,'Vereine - Clubs'!E:H,4,0)=""),"","x"))</f>
        <v/>
      </c>
      <c r="T137" s="66" t="str">
        <f>IF(COUNTIF(T$81:T136,G137&amp;" "&amp;H137)=0,"",VLOOKUP(G137&amp;" "&amp;H137,$AA$5:$AC$80,3,FALSE))</f>
        <v/>
      </c>
      <c r="U137" s="53" t="str">
        <f t="shared" si="259"/>
        <v/>
      </c>
      <c r="V137" s="53" t="str">
        <f t="shared" si="254"/>
        <v/>
      </c>
      <c r="W137" s="52" t="str">
        <f>IF(COUNTIF(W$81:W136,G137&amp;" "&amp;H137)=0,"",VLOOKUP(G137&amp;" "&amp;H137,$AB$5:$AC$80,2,FALSE))</f>
        <v/>
      </c>
      <c r="X137" s="53" t="str">
        <f t="shared" si="257"/>
        <v/>
      </c>
      <c r="Y137" s="54" t="str">
        <f t="shared" si="255"/>
        <v/>
      </c>
      <c r="Z137" s="21" t="str">
        <f>IF(T137="","",IF(OR(T137="searching for partner",T137="Freimeldung",T137="x-partner"),"",IF(ISERROR(VLOOKUP(T137,$F$5:$AT$80,1,0)),IF(Englisch&lt;&gt;"","Please add double partner as participant.     ","Doppelpartner/in bitte noch als Teilnehmer eintragen.     "),IF(VLOOKUP(T137,$F$5:$R$80,4,0)=I137,"",IF(Englisch&lt;&gt;"","Wrong doubles partner     ","Falsche/r Doppelpartner/in     ")))))
&amp;IF(W137="","",IF(OR(W137="searching for partner",W137="Freimeldung",W137="x-partner"),"",IF(ISERROR(VLOOKUP(W137,$F$5:$AT$80,1,0)),IF(Englisch&lt;&gt;"","Please add mixed partner as participant     ","Mixedpartner/in bitte noch als Teilnehmer eintragen.     "),IF(VLOOKUP(W137,$F$5:$R$80,4,0)&lt;&gt;I137,"",IF(Englisch&lt;&gt;"","Wrong mixed partner.     ","Falsche/r Mixedpartner/in     ")))))
&amp;IF(AND(L137&lt;&gt;"",L137&lt;&gt;"A",L137&lt;&gt;"B",L137&lt;&gt;"C",L137&lt;&gt;"D"),IF(Englisch&lt;&gt;"","There is level A,B and C.   ","Dieses Jahr gibt es A-, B- und C-Klassen. Bitte korrigieren.   "),"")
&amp;
IF(AND(L137="B",OR(K137=911)),IF(Englisch&lt;&gt;"","There ist no level B in this age group. Please play in A.   ","In dieser Altersklasse keine B-Klasse. Bitte spiele in A.  "),"")&amp;
IF(AND(L137="A",OR(K137=915,K137=917,K137=919)),IF(Englisch&lt;&gt;"","There ist no level A in this age group. Please play in B.   ","In dieser Altersklasse keine A-Klasse. Bitte spiele in B.  "),"")
&amp;
IF(AND(M137&lt;&gt;"",COUNTIF('Vereine - Clubs'!$E$28:$E$47,M137)=0),IF(Englisch&lt;&gt;"","Please check club   ","Bitte den Verein überprüfen.   "),"")
&amp;
IF(AND(N137="",OR(AND(K137=11,L137="a"),AND(K137=13,L137="a"))),IFERROR(IF(VLOOKUP(M137,Vereine,4,0)="Nein","",IF(Englisch&lt;&gt;"","Please fill in turnier.de player ID   ","Bitte Spielernummer Turnier.de eintragen.   ")),""),"")
&amp;
IF(M137="","",IF(AND(VLOOKUP(M137,'Vereine - Clubs'!$E:$H,4,0)="Nein",'Teilnehmende - Starters'!S137="x"),IF(Englisch&lt;&gt;"","You can enter singles only if you pay for them.    ","EInzelteilnahme nur bei Übernahme der Bezahlung möglich.    "),""))
&amp;
IF(AND($L137="",$G137&lt;&gt;"",OR($N137&lt;&gt;"",$T137&lt;&gt;"",$W137&lt;&gt;"")),IF(Englisch&lt;&gt;"","Please add the level.     ","Bitte Spielklasse ergänzen.     "),"")</f>
        <v/>
      </c>
      <c r="AA137" s="4">
        <f t="shared" si="260"/>
        <v>0</v>
      </c>
      <c r="AB137" s="4">
        <f t="shared" si="261"/>
        <v>0</v>
      </c>
    </row>
    <row r="138" spans="1:28" ht="15" customHeight="1" x14ac:dyDescent="0.3">
      <c r="A138" s="91" t="str">
        <f t="shared" si="251"/>
        <v/>
      </c>
      <c r="B138" s="10" t="str">
        <f>IF(G138="","",MAX(B$1:B137)+1)</f>
        <v/>
      </c>
      <c r="C138" s="10" t="str">
        <f>IF(B138="","",SUMIF('Vereine - Clubs'!$E$28:$E$47,M138,'Vereine - Clubs'!$C$28:$C$47)*100+B138)</f>
        <v/>
      </c>
      <c r="D138" s="10" t="str">
        <f t="shared" si="258"/>
        <v/>
      </c>
      <c r="E138" s="10" t="str">
        <f>IF(OR($G138="",T138=""),"",IF(AND(SUMIF(T$81:T138,G138&amp;" "&amp;H138,C$81:C138)&lt;20000,OR(COUNTIF(T$81:T138,G138&amp;" "&amp;H138)&gt;0,C138&gt;20000)),"",C138))</f>
        <v/>
      </c>
      <c r="F138" s="10" t="str">
        <f>IF(OR($G138="",W138=""),"",IF(AND(SUMIF(W$81:W138,G138&amp;" "&amp;H138,C$81:C138)&lt;20000,OR(COUNTIF(W$81:W138,G138&amp;" "&amp;H138)&gt;0,C138&gt;20000)),"",C138))</f>
        <v/>
      </c>
      <c r="G138" s="66"/>
      <c r="H138" s="52"/>
      <c r="I138" s="8"/>
      <c r="J138" s="80"/>
      <c r="K138" s="53" t="str">
        <f t="shared" si="252"/>
        <v/>
      </c>
      <c r="L138" s="8"/>
      <c r="M138" s="67" t="str">
        <f>IF(G138="","",'Vereine - Clubs'!$E$28)</f>
        <v/>
      </c>
      <c r="N138" s="40"/>
      <c r="O138" s="43" t="str">
        <f t="shared" si="253"/>
        <v/>
      </c>
      <c r="P138" s="39"/>
      <c r="Q138" s="39"/>
      <c r="R138" s="40"/>
      <c r="S138" s="51" t="str">
        <f>IF(G138="","",
IF(OR(VLOOKUP(M138,'Vereine - Clubs'!E:H,4,0)="Nein",VLOOKUP(M138,'Vereine - Clubs'!E:H,4,0)="No",VLOOKUP(M138,'Vereine - Clubs'!E:H,4,0)="",VLOOKUP(M138,'Vereine - Clubs'!E:H,4,0)="nein",VLOOKUP(M138,'Vereine - Clubs'!E:H,4,0)="no",VLOOKUP(M138,'Vereine - Clubs'!E:H,4,0)=""),"","x"))</f>
        <v/>
      </c>
      <c r="T138" s="66" t="str">
        <f>IF(COUNTIF(T$81:T137,G138&amp;" "&amp;H138)=0,"",VLOOKUP(G138&amp;" "&amp;H138,$AA$5:$AC$80,3,FALSE))</f>
        <v/>
      </c>
      <c r="U138" s="53" t="str">
        <f t="shared" si="259"/>
        <v/>
      </c>
      <c r="V138" s="53" t="str">
        <f t="shared" si="254"/>
        <v/>
      </c>
      <c r="W138" s="52" t="str">
        <f>IF(COUNTIF(W$81:W137,G138&amp;" "&amp;H138)=0,"",VLOOKUP(G138&amp;" "&amp;H138,$AB$5:$AC$80,2,FALSE))</f>
        <v/>
      </c>
      <c r="X138" s="53" t="str">
        <f t="shared" si="257"/>
        <v/>
      </c>
      <c r="Y138" s="54" t="str">
        <f t="shared" si="255"/>
        <v/>
      </c>
      <c r="Z138" s="21" t="str">
        <f>IF(T138="","",IF(OR(T138="searching for partner",T138="Freimeldung",T138="x-partner"),"",IF(ISERROR(VLOOKUP(T138,$F$5:$AT$80,1,0)),IF(Englisch&lt;&gt;"","Please add double partner as participant.     ","Doppelpartner/in bitte noch als Teilnehmer eintragen.     "),IF(VLOOKUP(T138,$F$5:$R$80,4,0)=I138,"",IF(Englisch&lt;&gt;"","Wrong doubles partner     ","Falsche/r Doppelpartner/in     ")))))
&amp;IF(W138="","",IF(OR(W138="searching for partner",W138="Freimeldung",W138="x-partner"),"",IF(ISERROR(VLOOKUP(W138,$F$5:$AT$80,1,0)),IF(Englisch&lt;&gt;"","Please add mixed partner as participant     ","Mixedpartner/in bitte noch als Teilnehmer eintragen.     "),IF(VLOOKUP(W138,$F$5:$R$80,4,0)&lt;&gt;I138,"",IF(Englisch&lt;&gt;"","Wrong mixed partner.     ","Falsche/r Mixedpartner/in     ")))))
&amp;IF(AND(L138&lt;&gt;"",L138&lt;&gt;"A",L138&lt;&gt;"B",L138&lt;&gt;"C",L138&lt;&gt;"D"),IF(Englisch&lt;&gt;"","There is level A,B and C.   ","Dieses Jahr gibt es A-, B- und C-Klassen. Bitte korrigieren.   "),"")
&amp;
IF(AND(L138="B",OR(K138=911)),IF(Englisch&lt;&gt;"","There ist no level B in this age group. Please play in A.   ","In dieser Altersklasse keine B-Klasse. Bitte spiele in A.  "),"")&amp;
IF(AND(L138="A",OR(K138=915,K138=917,K138=919)),IF(Englisch&lt;&gt;"","There ist no level A in this age group. Please play in B.   ","In dieser Altersklasse keine A-Klasse. Bitte spiele in B.  "),"")
&amp;
IF(AND(M138&lt;&gt;"",COUNTIF('Vereine - Clubs'!$E$28:$E$47,M138)=0),IF(Englisch&lt;&gt;"","Please check club   ","Bitte den Verein überprüfen.   "),"")
&amp;
IF(AND(N138="",OR(AND(K138=11,L138="a"),AND(K138=13,L138="a"))),IFERROR(IF(VLOOKUP(M138,Vereine,4,0)="Nein","",IF(Englisch&lt;&gt;"","Please fill in turnier.de player ID   ","Bitte Spielernummer Turnier.de eintragen.   ")),""),"")
&amp;
IF(M138="","",IF(AND(VLOOKUP(M138,'Vereine - Clubs'!$E:$H,4,0)="Nein",'Teilnehmende - Starters'!S138="x"),IF(Englisch&lt;&gt;"","You can enter singles only if you pay for them.    ","EInzelteilnahme nur bei Übernahme der Bezahlung möglich.    "),""))
&amp;
IF(AND($L138="",$G138&lt;&gt;"",OR($N138&lt;&gt;"",$T138&lt;&gt;"",$W138&lt;&gt;"")),IF(Englisch&lt;&gt;"","Please add the level.     ","Bitte Spielklasse ergänzen.     "),"")</f>
        <v/>
      </c>
      <c r="AA138" s="4">
        <f t="shared" si="260"/>
        <v>0</v>
      </c>
      <c r="AB138" s="4">
        <f t="shared" si="261"/>
        <v>0</v>
      </c>
    </row>
    <row r="139" spans="1:28" ht="15" customHeight="1" x14ac:dyDescent="0.3">
      <c r="A139" s="91" t="str">
        <f t="shared" si="251"/>
        <v/>
      </c>
      <c r="B139" s="10" t="str">
        <f>IF(G139="","",MAX(B$1:B138)+1)</f>
        <v/>
      </c>
      <c r="C139" s="10" t="str">
        <f>IF(B139="","",SUMIF('Vereine - Clubs'!$E$28:$E$47,M139,'Vereine - Clubs'!$C$28:$C$47)*100+B139)</f>
        <v/>
      </c>
      <c r="D139" s="10" t="str">
        <f t="shared" si="258"/>
        <v/>
      </c>
      <c r="E139" s="10" t="str">
        <f>IF(OR($G139="",T139=""),"",IF(AND(SUMIF(T$81:T139,G139&amp;" "&amp;H139,C$81:C139)&lt;20000,OR(COUNTIF(T$81:T139,G139&amp;" "&amp;H139)&gt;0,C139&gt;20000)),"",C139))</f>
        <v/>
      </c>
      <c r="F139" s="10" t="str">
        <f>IF(OR($G139="",W139=""),"",IF(AND(SUMIF(W$81:W139,G139&amp;" "&amp;H139,C$81:C139)&lt;20000,OR(COUNTIF(W$81:W139,G139&amp;" "&amp;H139)&gt;0,C139&gt;20000)),"",C139))</f>
        <v/>
      </c>
      <c r="G139" s="66"/>
      <c r="H139" s="52"/>
      <c r="I139" s="8"/>
      <c r="J139" s="80"/>
      <c r="K139" s="53" t="str">
        <f t="shared" si="252"/>
        <v/>
      </c>
      <c r="L139" s="8"/>
      <c r="M139" s="67" t="str">
        <f>IF(G139="","",'Vereine - Clubs'!$E$28)</f>
        <v/>
      </c>
      <c r="N139" s="40"/>
      <c r="O139" s="43" t="str">
        <f t="shared" si="253"/>
        <v/>
      </c>
      <c r="P139" s="39"/>
      <c r="Q139" s="39"/>
      <c r="R139" s="40"/>
      <c r="S139" s="51" t="str">
        <f>IF(G139="","",
IF(OR(VLOOKUP(M139,'Vereine - Clubs'!E:H,4,0)="Nein",VLOOKUP(M139,'Vereine - Clubs'!E:H,4,0)="No",VLOOKUP(M139,'Vereine - Clubs'!E:H,4,0)="",VLOOKUP(M139,'Vereine - Clubs'!E:H,4,0)="nein",VLOOKUP(M139,'Vereine - Clubs'!E:H,4,0)="no",VLOOKUP(M139,'Vereine - Clubs'!E:H,4,0)=""),"","x"))</f>
        <v/>
      </c>
      <c r="T139" s="66" t="str">
        <f>IF(COUNTIF(T$81:T138,G139&amp;" "&amp;H139)=0,"",VLOOKUP(G139&amp;" "&amp;H139,$AA$5:$AC$80,3,FALSE))</f>
        <v/>
      </c>
      <c r="U139" s="53" t="str">
        <f t="shared" si="259"/>
        <v/>
      </c>
      <c r="V139" s="53" t="str">
        <f t="shared" si="254"/>
        <v/>
      </c>
      <c r="W139" s="52" t="str">
        <f>IF(COUNTIF(W$81:W138,G139&amp;" "&amp;H139)=0,"",VLOOKUP(G139&amp;" "&amp;H139,$AB$5:$AC$80,2,FALSE))</f>
        <v/>
      </c>
      <c r="X139" s="53" t="str">
        <f t="shared" si="257"/>
        <v/>
      </c>
      <c r="Y139" s="54" t="str">
        <f t="shared" si="255"/>
        <v/>
      </c>
      <c r="Z139" s="21" t="str">
        <f>IF(T139="","",IF(OR(T139="searching for partner",T139="Freimeldung",T139="x-partner"),"",IF(ISERROR(VLOOKUP(T139,$F$5:$AT$80,1,0)),IF(Englisch&lt;&gt;"","Please add double partner as participant.     ","Doppelpartner/in bitte noch als Teilnehmer eintragen.     "),IF(VLOOKUP(T139,$F$5:$R$80,4,0)=I139,"",IF(Englisch&lt;&gt;"","Wrong doubles partner     ","Falsche/r Doppelpartner/in     ")))))
&amp;IF(W139="","",IF(OR(W139="searching for partner",W139="Freimeldung",W139="x-partner"),"",IF(ISERROR(VLOOKUP(W139,$F$5:$AT$80,1,0)),IF(Englisch&lt;&gt;"","Please add mixed partner as participant     ","Mixedpartner/in bitte noch als Teilnehmer eintragen.     "),IF(VLOOKUP(W139,$F$5:$R$80,4,0)&lt;&gt;I139,"",IF(Englisch&lt;&gt;"","Wrong mixed partner.     ","Falsche/r Mixedpartner/in     ")))))
&amp;IF(AND(L139&lt;&gt;"",L139&lt;&gt;"A",L139&lt;&gt;"B",L139&lt;&gt;"C",L139&lt;&gt;"D"),IF(Englisch&lt;&gt;"","There is level A,B and C.   ","Dieses Jahr gibt es A-, B- und C-Klassen. Bitte korrigieren.   "),"")
&amp;
IF(AND(L139="B",OR(K139=911)),IF(Englisch&lt;&gt;"","There ist no level B in this age group. Please play in A.   ","In dieser Altersklasse keine B-Klasse. Bitte spiele in A.  "),"")&amp;
IF(AND(L139="A",OR(K139=915,K139=917,K139=919)),IF(Englisch&lt;&gt;"","There ist no level A in this age group. Please play in B.   ","In dieser Altersklasse keine A-Klasse. Bitte spiele in B.  "),"")
&amp;
IF(AND(M139&lt;&gt;"",COUNTIF('Vereine - Clubs'!$E$28:$E$47,M139)=0),IF(Englisch&lt;&gt;"","Please check club   ","Bitte den Verein überprüfen.   "),"")
&amp;
IF(AND(N139="",OR(AND(K139=11,L139="a"),AND(K139=13,L139="a"))),IFERROR(IF(VLOOKUP(M139,Vereine,4,0)="Nein","",IF(Englisch&lt;&gt;"","Please fill in turnier.de player ID   ","Bitte Spielernummer Turnier.de eintragen.   ")),""),"")
&amp;
IF(M139="","",IF(AND(VLOOKUP(M139,'Vereine - Clubs'!$E:$H,4,0)="Nein",'Teilnehmende - Starters'!S139="x"),IF(Englisch&lt;&gt;"","You can enter singles only if you pay for them.    ","EInzelteilnahme nur bei Übernahme der Bezahlung möglich.    "),""))
&amp;
IF(AND($L139="",$G139&lt;&gt;"",OR($N139&lt;&gt;"",$T139&lt;&gt;"",$W139&lt;&gt;"")),IF(Englisch&lt;&gt;"","Please add the level.     ","Bitte Spielklasse ergänzen.     "),"")</f>
        <v/>
      </c>
      <c r="AA139" s="4">
        <f t="shared" si="260"/>
        <v>0</v>
      </c>
      <c r="AB139" s="4">
        <f t="shared" si="261"/>
        <v>0</v>
      </c>
    </row>
    <row r="140" spans="1:28" ht="15" customHeight="1" x14ac:dyDescent="0.3">
      <c r="A140" s="91" t="str">
        <f t="shared" si="251"/>
        <v/>
      </c>
      <c r="B140" s="10" t="str">
        <f>IF(G140="","",MAX(B$1:B139)+1)</f>
        <v/>
      </c>
      <c r="C140" s="10" t="str">
        <f>IF(B140="","",SUMIF('Vereine - Clubs'!$E$28:$E$47,M140,'Vereine - Clubs'!$C$28:$C$47)*100+B140)</f>
        <v/>
      </c>
      <c r="D140" s="10" t="str">
        <f t="shared" si="258"/>
        <v/>
      </c>
      <c r="E140" s="10" t="str">
        <f>IF(OR($G140="",T140=""),"",IF(AND(SUMIF(T$81:T140,G140&amp;" "&amp;H140,C$81:C140)&lt;20000,OR(COUNTIF(T$81:T140,G140&amp;" "&amp;H140)&gt;0,C140&gt;20000)),"",C140))</f>
        <v/>
      </c>
      <c r="F140" s="10" t="str">
        <f>IF(OR($G140="",W140=""),"",IF(AND(SUMIF(W$81:W140,G140&amp;" "&amp;H140,C$81:C140)&lt;20000,OR(COUNTIF(W$81:W140,G140&amp;" "&amp;H140)&gt;0,C140&gt;20000)),"",C140))</f>
        <v/>
      </c>
      <c r="G140" s="66"/>
      <c r="H140" s="52"/>
      <c r="I140" s="8"/>
      <c r="J140" s="80"/>
      <c r="K140" s="53" t="str">
        <f t="shared" si="252"/>
        <v/>
      </c>
      <c r="L140" s="8"/>
      <c r="M140" s="67" t="str">
        <f>IF(G140="","",'Vereine - Clubs'!$E$28)</f>
        <v/>
      </c>
      <c r="N140" s="40"/>
      <c r="O140" s="43" t="str">
        <f t="shared" si="253"/>
        <v/>
      </c>
      <c r="P140" s="39"/>
      <c r="Q140" s="39"/>
      <c r="R140" s="40"/>
      <c r="S140" s="51" t="str">
        <f>IF(G140="","",
IF(OR(VLOOKUP(M140,'Vereine - Clubs'!E:H,4,0)="Nein",VLOOKUP(M140,'Vereine - Clubs'!E:H,4,0)="No",VLOOKUP(M140,'Vereine - Clubs'!E:H,4,0)="",VLOOKUP(M140,'Vereine - Clubs'!E:H,4,0)="nein",VLOOKUP(M140,'Vereine - Clubs'!E:H,4,0)="no",VLOOKUP(M140,'Vereine - Clubs'!E:H,4,0)=""),"","x"))</f>
        <v/>
      </c>
      <c r="T140" s="66" t="str">
        <f>IF(COUNTIF(T$81:T139,G140&amp;" "&amp;H140)=0,"",VLOOKUP(G140&amp;" "&amp;H140,$AA$5:$AC$80,3,FALSE))</f>
        <v/>
      </c>
      <c r="U140" s="53" t="str">
        <f t="shared" si="259"/>
        <v/>
      </c>
      <c r="V140" s="53" t="str">
        <f t="shared" si="254"/>
        <v/>
      </c>
      <c r="W140" s="52" t="str">
        <f>IF(COUNTIF(W$81:W139,G140&amp;" "&amp;H140)=0,"",VLOOKUP(G140&amp;" "&amp;H140,$AB$5:$AC$80,2,FALSE))</f>
        <v/>
      </c>
      <c r="X140" s="53" t="str">
        <f t="shared" si="257"/>
        <v/>
      </c>
      <c r="Y140" s="54" t="str">
        <f t="shared" si="255"/>
        <v/>
      </c>
      <c r="Z140" s="21" t="str">
        <f>IF(T140="","",IF(OR(T140="searching for partner",T140="Freimeldung",T140="x-partner"),"",IF(ISERROR(VLOOKUP(T140,$F$5:$AT$80,1,0)),IF(Englisch&lt;&gt;"","Please add double partner as participant.     ","Doppelpartner/in bitte noch als Teilnehmer eintragen.     "),IF(VLOOKUP(T140,$F$5:$R$80,4,0)=I140,"",IF(Englisch&lt;&gt;"","Wrong doubles partner     ","Falsche/r Doppelpartner/in     ")))))
&amp;IF(W140="","",IF(OR(W140="searching for partner",W140="Freimeldung",W140="x-partner"),"",IF(ISERROR(VLOOKUP(W140,$F$5:$AT$80,1,0)),IF(Englisch&lt;&gt;"","Please add mixed partner as participant     ","Mixedpartner/in bitte noch als Teilnehmer eintragen.     "),IF(VLOOKUP(W140,$F$5:$R$80,4,0)&lt;&gt;I140,"",IF(Englisch&lt;&gt;"","Wrong mixed partner.     ","Falsche/r Mixedpartner/in     ")))))
&amp;IF(AND(L140&lt;&gt;"",L140&lt;&gt;"A",L140&lt;&gt;"B",L140&lt;&gt;"C",L140&lt;&gt;"D"),IF(Englisch&lt;&gt;"","There is level A,B and C.   ","Dieses Jahr gibt es A-, B- und C-Klassen. Bitte korrigieren.   "),"")
&amp;
IF(AND(L140="B",OR(K140=911)),IF(Englisch&lt;&gt;"","There ist no level B in this age group. Please play in A.   ","In dieser Altersklasse keine B-Klasse. Bitte spiele in A.  "),"")&amp;
IF(AND(L140="A",OR(K140=915,K140=917,K140=919)),IF(Englisch&lt;&gt;"","There ist no level A in this age group. Please play in B.   ","In dieser Altersklasse keine A-Klasse. Bitte spiele in B.  "),"")
&amp;
IF(AND(M140&lt;&gt;"",COUNTIF('Vereine - Clubs'!$E$28:$E$47,M140)=0),IF(Englisch&lt;&gt;"","Please check club   ","Bitte den Verein überprüfen.   "),"")
&amp;
IF(AND(N140="",OR(AND(K140=11,L140="a"),AND(K140=13,L140="a"))),IFERROR(IF(VLOOKUP(M140,Vereine,4,0)="Nein","",IF(Englisch&lt;&gt;"","Please fill in turnier.de player ID   ","Bitte Spielernummer Turnier.de eintragen.   ")),""),"")
&amp;
IF(M140="","",IF(AND(VLOOKUP(M140,'Vereine - Clubs'!$E:$H,4,0)="Nein",'Teilnehmende - Starters'!S140="x"),IF(Englisch&lt;&gt;"","You can enter singles only if you pay for them.    ","EInzelteilnahme nur bei Übernahme der Bezahlung möglich.    "),""))
&amp;
IF(AND($L140="",$G140&lt;&gt;"",OR($N140&lt;&gt;"",$T140&lt;&gt;"",$W140&lt;&gt;"")),IF(Englisch&lt;&gt;"","Please add the level.     ","Bitte Spielklasse ergänzen.     "),"")</f>
        <v/>
      </c>
      <c r="AA140" s="4">
        <f t="shared" si="260"/>
        <v>0</v>
      </c>
      <c r="AB140" s="4">
        <f t="shared" si="261"/>
        <v>0</v>
      </c>
    </row>
    <row r="141" spans="1:28" ht="15" customHeight="1" x14ac:dyDescent="0.3">
      <c r="A141" s="91" t="str">
        <f t="shared" si="251"/>
        <v/>
      </c>
      <c r="B141" s="10" t="str">
        <f>IF(G141="","",MAX(B$1:B140)+1)</f>
        <v/>
      </c>
      <c r="C141" s="10" t="str">
        <f>IF(B141="","",SUMIF('Vereine - Clubs'!$E$28:$E$47,M141,'Vereine - Clubs'!$C$28:$C$47)*100+B141)</f>
        <v/>
      </c>
      <c r="D141" s="10" t="str">
        <f t="shared" si="258"/>
        <v/>
      </c>
      <c r="E141" s="10" t="str">
        <f>IF(OR($G141="",T141=""),"",IF(AND(SUMIF(T$81:T141,G141&amp;" "&amp;H141,C$81:C141)&lt;20000,OR(COUNTIF(T$81:T141,G141&amp;" "&amp;H141)&gt;0,C141&gt;20000)),"",C141))</f>
        <v/>
      </c>
      <c r="F141" s="10" t="str">
        <f>IF(OR($G141="",W141=""),"",IF(AND(SUMIF(W$81:W141,G141&amp;" "&amp;H141,C$81:C141)&lt;20000,OR(COUNTIF(W$81:W141,G141&amp;" "&amp;H141)&gt;0,C141&gt;20000)),"",C141))</f>
        <v/>
      </c>
      <c r="G141" s="66"/>
      <c r="H141" s="52"/>
      <c r="I141" s="8"/>
      <c r="J141" s="80"/>
      <c r="K141" s="53" t="str">
        <f t="shared" si="252"/>
        <v/>
      </c>
      <c r="L141" s="8"/>
      <c r="M141" s="67" t="str">
        <f>IF(G141="","",'Vereine - Clubs'!$E$28)</f>
        <v/>
      </c>
      <c r="N141" s="40"/>
      <c r="O141" s="43" t="str">
        <f t="shared" si="253"/>
        <v/>
      </c>
      <c r="P141" s="39"/>
      <c r="Q141" s="39"/>
      <c r="R141" s="40"/>
      <c r="S141" s="51" t="str">
        <f>IF(G141="","",
IF(OR(VLOOKUP(M141,'Vereine - Clubs'!E:H,4,0)="Nein",VLOOKUP(M141,'Vereine - Clubs'!E:H,4,0)="No",VLOOKUP(M141,'Vereine - Clubs'!E:H,4,0)="",VLOOKUP(M141,'Vereine - Clubs'!E:H,4,0)="nein",VLOOKUP(M141,'Vereine - Clubs'!E:H,4,0)="no",VLOOKUP(M141,'Vereine - Clubs'!E:H,4,0)=""),"","x"))</f>
        <v/>
      </c>
      <c r="T141" s="66" t="str">
        <f>IF(COUNTIF(T$81:T140,G141&amp;" "&amp;H141)=0,"",VLOOKUP(G141&amp;" "&amp;H141,$AA$5:$AC$80,3,FALSE))</f>
        <v/>
      </c>
      <c r="U141" s="53" t="str">
        <f t="shared" si="259"/>
        <v/>
      </c>
      <c r="V141" s="53" t="str">
        <f t="shared" si="254"/>
        <v/>
      </c>
      <c r="W141" s="52" t="str">
        <f>IF(COUNTIF(W$81:W140,G141&amp;" "&amp;H141)=0,"",VLOOKUP(G141&amp;" "&amp;H141,$AB$5:$AC$80,2,FALSE))</f>
        <v/>
      </c>
      <c r="X141" s="53" t="str">
        <f t="shared" si="257"/>
        <v/>
      </c>
      <c r="Y141" s="54" t="str">
        <f t="shared" si="255"/>
        <v/>
      </c>
      <c r="Z141" s="21" t="str">
        <f>IF(T141="","",IF(OR(T141="searching for partner",T141="Freimeldung",T141="x-partner"),"",IF(ISERROR(VLOOKUP(T141,$F$5:$AT$80,1,0)),IF(Englisch&lt;&gt;"","Please add double partner as participant.     ","Doppelpartner/in bitte noch als Teilnehmer eintragen.     "),IF(VLOOKUP(T141,$F$5:$R$80,4,0)=I141,"",IF(Englisch&lt;&gt;"","Wrong doubles partner     ","Falsche/r Doppelpartner/in     ")))))
&amp;IF(W141="","",IF(OR(W141="searching for partner",W141="Freimeldung",W141="x-partner"),"",IF(ISERROR(VLOOKUP(W141,$F$5:$AT$80,1,0)),IF(Englisch&lt;&gt;"","Please add mixed partner as participant     ","Mixedpartner/in bitte noch als Teilnehmer eintragen.     "),IF(VLOOKUP(W141,$F$5:$R$80,4,0)&lt;&gt;I141,"",IF(Englisch&lt;&gt;"","Wrong mixed partner.     ","Falsche/r Mixedpartner/in     ")))))
&amp;IF(AND(L141&lt;&gt;"",L141&lt;&gt;"A",L141&lt;&gt;"B",L141&lt;&gt;"C",L141&lt;&gt;"D"),IF(Englisch&lt;&gt;"","There is level A,B and C.   ","Dieses Jahr gibt es A-, B- und C-Klassen. Bitte korrigieren.   "),"")
&amp;
IF(AND(L141="B",OR(K141=911)),IF(Englisch&lt;&gt;"","There ist no level B in this age group. Please play in A.   ","In dieser Altersklasse keine B-Klasse. Bitte spiele in A.  "),"")&amp;
IF(AND(L141="A",OR(K141=915,K141=917,K141=919)),IF(Englisch&lt;&gt;"","There ist no level A in this age group. Please play in B.   ","In dieser Altersklasse keine A-Klasse. Bitte spiele in B.  "),"")
&amp;
IF(AND(M141&lt;&gt;"",COUNTIF('Vereine - Clubs'!$E$28:$E$47,M141)=0),IF(Englisch&lt;&gt;"","Please check club   ","Bitte den Verein überprüfen.   "),"")
&amp;
IF(AND(N141="",OR(AND(K141=11,L141="a"),AND(K141=13,L141="a"))),IFERROR(IF(VLOOKUP(M141,Vereine,4,0)="Nein","",IF(Englisch&lt;&gt;"","Please fill in turnier.de player ID   ","Bitte Spielernummer Turnier.de eintragen.   ")),""),"")
&amp;
IF(M141="","",IF(AND(VLOOKUP(M141,'Vereine - Clubs'!$E:$H,4,0)="Nein",'Teilnehmende - Starters'!S141="x"),IF(Englisch&lt;&gt;"","You can enter singles only if you pay for them.    ","EInzelteilnahme nur bei Übernahme der Bezahlung möglich.    "),""))
&amp;
IF(AND($L141="",$G141&lt;&gt;"",OR($N141&lt;&gt;"",$T141&lt;&gt;"",$W141&lt;&gt;"")),IF(Englisch&lt;&gt;"","Please add the level.     ","Bitte Spielklasse ergänzen.     "),"")</f>
        <v/>
      </c>
      <c r="AA141" s="4">
        <f t="shared" si="260"/>
        <v>0</v>
      </c>
      <c r="AB141" s="4">
        <f t="shared" si="261"/>
        <v>0</v>
      </c>
    </row>
    <row r="142" spans="1:28" ht="15" customHeight="1" x14ac:dyDescent="0.3">
      <c r="A142" s="91" t="str">
        <f t="shared" si="251"/>
        <v/>
      </c>
      <c r="B142" s="10" t="str">
        <f>IF(G142="","",MAX(B$1:B141)+1)</f>
        <v/>
      </c>
      <c r="C142" s="10" t="str">
        <f>IF(B142="","",SUMIF('Vereine - Clubs'!$E$28:$E$47,M142,'Vereine - Clubs'!$C$28:$C$47)*100+B142)</f>
        <v/>
      </c>
      <c r="D142" s="10" t="str">
        <f t="shared" si="258"/>
        <v/>
      </c>
      <c r="E142" s="10" t="str">
        <f>IF(OR($G142="",T142=""),"",IF(AND(SUMIF(T$81:T142,G142&amp;" "&amp;H142,C$81:C142)&lt;20000,OR(COUNTIF(T$81:T142,G142&amp;" "&amp;H142)&gt;0,C142&gt;20000)),"",C142))</f>
        <v/>
      </c>
      <c r="F142" s="10" t="str">
        <f>IF(OR($G142="",W142=""),"",IF(AND(SUMIF(W$81:W142,G142&amp;" "&amp;H142,C$81:C142)&lt;20000,OR(COUNTIF(W$81:W142,G142&amp;" "&amp;H142)&gt;0,C142&gt;20000)),"",C142))</f>
        <v/>
      </c>
      <c r="G142" s="66"/>
      <c r="H142" s="52"/>
      <c r="I142" s="8"/>
      <c r="J142" s="80"/>
      <c r="K142" s="53" t="str">
        <f t="shared" si="252"/>
        <v/>
      </c>
      <c r="L142" s="8"/>
      <c r="M142" s="67" t="str">
        <f>IF(G142="","",'Vereine - Clubs'!$E$28)</f>
        <v/>
      </c>
      <c r="N142" s="40"/>
      <c r="O142" s="43" t="str">
        <f t="shared" si="253"/>
        <v/>
      </c>
      <c r="P142" s="39"/>
      <c r="Q142" s="39"/>
      <c r="R142" s="40"/>
      <c r="S142" s="51" t="str">
        <f>IF(G142="","",
IF(OR(VLOOKUP(M142,'Vereine - Clubs'!E:H,4,0)="Nein",VLOOKUP(M142,'Vereine - Clubs'!E:H,4,0)="No",VLOOKUP(M142,'Vereine - Clubs'!E:H,4,0)="",VLOOKUP(M142,'Vereine - Clubs'!E:H,4,0)="nein",VLOOKUP(M142,'Vereine - Clubs'!E:H,4,0)="no",VLOOKUP(M142,'Vereine - Clubs'!E:H,4,0)=""),"","x"))</f>
        <v/>
      </c>
      <c r="T142" s="66" t="str">
        <f>IF(COUNTIF(T$81:T141,G142&amp;" "&amp;H142)=0,"",VLOOKUP(G142&amp;" "&amp;H142,$AA$5:$AC$80,3,FALSE))</f>
        <v/>
      </c>
      <c r="U142" s="53" t="str">
        <f t="shared" si="259"/>
        <v/>
      </c>
      <c r="V142" s="53" t="str">
        <f t="shared" si="254"/>
        <v/>
      </c>
      <c r="W142" s="52" t="str">
        <f>IF(COUNTIF(W$81:W141,G142&amp;" "&amp;H142)=0,"",VLOOKUP(G142&amp;" "&amp;H142,$AB$5:$AC$80,2,FALSE))</f>
        <v/>
      </c>
      <c r="X142" s="53" t="str">
        <f t="shared" si="257"/>
        <v/>
      </c>
      <c r="Y142" s="54" t="str">
        <f t="shared" si="255"/>
        <v/>
      </c>
      <c r="Z142" s="21" t="str">
        <f>IF(T142="","",IF(OR(T142="searching for partner",T142="Freimeldung",T142="x-partner"),"",IF(ISERROR(VLOOKUP(T142,$F$5:$AT$80,1,0)),IF(Englisch&lt;&gt;"","Please add double partner as participant.     ","Doppelpartner/in bitte noch als Teilnehmer eintragen.     "),IF(VLOOKUP(T142,$F$5:$R$80,4,0)=I142,"",IF(Englisch&lt;&gt;"","Wrong doubles partner     ","Falsche/r Doppelpartner/in     ")))))
&amp;IF(W142="","",IF(OR(W142="searching for partner",W142="Freimeldung",W142="x-partner"),"",IF(ISERROR(VLOOKUP(W142,$F$5:$AT$80,1,0)),IF(Englisch&lt;&gt;"","Please add mixed partner as participant     ","Mixedpartner/in bitte noch als Teilnehmer eintragen.     "),IF(VLOOKUP(W142,$F$5:$R$80,4,0)&lt;&gt;I142,"",IF(Englisch&lt;&gt;"","Wrong mixed partner.     ","Falsche/r Mixedpartner/in     ")))))
&amp;IF(AND(L142&lt;&gt;"",L142&lt;&gt;"A",L142&lt;&gt;"B",L142&lt;&gt;"C",L142&lt;&gt;"D"),IF(Englisch&lt;&gt;"","There is level A,B and C.   ","Dieses Jahr gibt es A-, B- und C-Klassen. Bitte korrigieren.   "),"")
&amp;
IF(AND(L142="B",OR(K142=911)),IF(Englisch&lt;&gt;"","There ist no level B in this age group. Please play in A.   ","In dieser Altersklasse keine B-Klasse. Bitte spiele in A.  "),"")&amp;
IF(AND(L142="A",OR(K142=915,K142=917,K142=919)),IF(Englisch&lt;&gt;"","There ist no level A in this age group. Please play in B.   ","In dieser Altersklasse keine A-Klasse. Bitte spiele in B.  "),"")
&amp;
IF(AND(M142&lt;&gt;"",COUNTIF('Vereine - Clubs'!$E$28:$E$47,M142)=0),IF(Englisch&lt;&gt;"","Please check club   ","Bitte den Verein überprüfen.   "),"")
&amp;
IF(AND(N142="",OR(AND(K142=11,L142="a"),AND(K142=13,L142="a"))),IFERROR(IF(VLOOKUP(M142,Vereine,4,0)="Nein","",IF(Englisch&lt;&gt;"","Please fill in turnier.de player ID   ","Bitte Spielernummer Turnier.de eintragen.   ")),""),"")
&amp;
IF(M142="","",IF(AND(VLOOKUP(M142,'Vereine - Clubs'!$E:$H,4,0)="Nein",'Teilnehmende - Starters'!S142="x"),IF(Englisch&lt;&gt;"","You can enter singles only if you pay for them.    ","EInzelteilnahme nur bei Übernahme der Bezahlung möglich.    "),""))
&amp;
IF(AND($L142="",$G142&lt;&gt;"",OR($N142&lt;&gt;"",$T142&lt;&gt;"",$W142&lt;&gt;"")),IF(Englisch&lt;&gt;"","Please add the level.     ","Bitte Spielklasse ergänzen.     "),"")</f>
        <v/>
      </c>
      <c r="AA142" s="4">
        <f t="shared" si="260"/>
        <v>0</v>
      </c>
      <c r="AB142" s="4">
        <f t="shared" si="261"/>
        <v>0</v>
      </c>
    </row>
    <row r="143" spans="1:28" ht="15" customHeight="1" x14ac:dyDescent="0.3">
      <c r="A143" s="91" t="str">
        <f t="shared" si="251"/>
        <v/>
      </c>
      <c r="B143" s="10" t="str">
        <f>IF(G143="","",MAX(B$1:B142)+1)</f>
        <v/>
      </c>
      <c r="C143" s="10" t="str">
        <f>IF(B143="","",SUMIF('Vereine - Clubs'!$E$28:$E$47,M143,'Vereine - Clubs'!$C$28:$C$47)*100+B143)</f>
        <v/>
      </c>
      <c r="D143" s="10" t="str">
        <f t="shared" si="258"/>
        <v/>
      </c>
      <c r="E143" s="10" t="str">
        <f>IF(OR($G143="",T143=""),"",IF(AND(SUMIF(T$81:T143,G143&amp;" "&amp;H143,C$81:C143)&lt;20000,OR(COUNTIF(T$81:T143,G143&amp;" "&amp;H143)&gt;0,C143&gt;20000)),"",C143))</f>
        <v/>
      </c>
      <c r="F143" s="10" t="str">
        <f>IF(OR($G143="",W143=""),"",IF(AND(SUMIF(W$81:W143,G143&amp;" "&amp;H143,C$81:C143)&lt;20000,OR(COUNTIF(W$81:W143,G143&amp;" "&amp;H143)&gt;0,C143&gt;20000)),"",C143))</f>
        <v/>
      </c>
      <c r="G143" s="66"/>
      <c r="H143" s="52"/>
      <c r="I143" s="8"/>
      <c r="J143" s="80"/>
      <c r="K143" s="53" t="str">
        <f t="shared" si="252"/>
        <v/>
      </c>
      <c r="L143" s="8"/>
      <c r="M143" s="67" t="str">
        <f>IF(G143="","",'Vereine - Clubs'!$E$28)</f>
        <v/>
      </c>
      <c r="N143" s="40"/>
      <c r="O143" s="43" t="str">
        <f t="shared" si="253"/>
        <v/>
      </c>
      <c r="P143" s="39"/>
      <c r="Q143" s="39"/>
      <c r="R143" s="40"/>
      <c r="S143" s="51" t="str">
        <f>IF(G143="","",
IF(OR(VLOOKUP(M143,'Vereine - Clubs'!E:H,4,0)="Nein",VLOOKUP(M143,'Vereine - Clubs'!E:H,4,0)="No",VLOOKUP(M143,'Vereine - Clubs'!E:H,4,0)="",VLOOKUP(M143,'Vereine - Clubs'!E:H,4,0)="nein",VLOOKUP(M143,'Vereine - Clubs'!E:H,4,0)="no",VLOOKUP(M143,'Vereine - Clubs'!E:H,4,0)=""),"","x"))</f>
        <v/>
      </c>
      <c r="T143" s="66" t="str">
        <f>IF(COUNTIF(T$81:T142,G143&amp;" "&amp;H143)=0,"",VLOOKUP(G143&amp;" "&amp;H143,$AA$5:$AC$80,3,FALSE))</f>
        <v/>
      </c>
      <c r="U143" s="53" t="str">
        <f t="shared" si="259"/>
        <v/>
      </c>
      <c r="V143" s="53" t="str">
        <f t="shared" si="254"/>
        <v/>
      </c>
      <c r="W143" s="52" t="str">
        <f>IF(COUNTIF(W$81:W142,G143&amp;" "&amp;H143)=0,"",VLOOKUP(G143&amp;" "&amp;H143,$AB$5:$AC$80,2,FALSE))</f>
        <v/>
      </c>
      <c r="X143" s="53" t="str">
        <f t="shared" si="257"/>
        <v/>
      </c>
      <c r="Y143" s="54" t="str">
        <f t="shared" si="255"/>
        <v/>
      </c>
      <c r="Z143" s="21" t="str">
        <f>IF(T143="","",IF(OR(T143="searching for partner",T143="Freimeldung",T143="x-partner"),"",IF(ISERROR(VLOOKUP(T143,$F$5:$AT$80,1,0)),IF(Englisch&lt;&gt;"","Please add double partner as participant.     ","Doppelpartner/in bitte noch als Teilnehmer eintragen.     "),IF(VLOOKUP(T143,$F$5:$R$80,4,0)=I143,"",IF(Englisch&lt;&gt;"","Wrong doubles partner     ","Falsche/r Doppelpartner/in     ")))))
&amp;IF(W143="","",IF(OR(W143="searching for partner",W143="Freimeldung",W143="x-partner"),"",IF(ISERROR(VLOOKUP(W143,$F$5:$AT$80,1,0)),IF(Englisch&lt;&gt;"","Please add mixed partner as participant     ","Mixedpartner/in bitte noch als Teilnehmer eintragen.     "),IF(VLOOKUP(W143,$F$5:$R$80,4,0)&lt;&gt;I143,"",IF(Englisch&lt;&gt;"","Wrong mixed partner.     ","Falsche/r Mixedpartner/in     ")))))
&amp;IF(AND(L143&lt;&gt;"",L143&lt;&gt;"A",L143&lt;&gt;"B",L143&lt;&gt;"C",L143&lt;&gt;"D"),IF(Englisch&lt;&gt;"","There is level A,B and C.   ","Dieses Jahr gibt es A-, B- und C-Klassen. Bitte korrigieren.   "),"")
&amp;
IF(AND(L143="B",OR(K143=911)),IF(Englisch&lt;&gt;"","There ist no level B in this age group. Please play in A.   ","In dieser Altersklasse keine B-Klasse. Bitte spiele in A.  "),"")&amp;
IF(AND(L143="A",OR(K143=915,K143=917,K143=919)),IF(Englisch&lt;&gt;"","There ist no level A in this age group. Please play in B.   ","In dieser Altersklasse keine A-Klasse. Bitte spiele in B.  "),"")
&amp;
IF(AND(M143&lt;&gt;"",COUNTIF('Vereine - Clubs'!$E$28:$E$47,M143)=0),IF(Englisch&lt;&gt;"","Please check club   ","Bitte den Verein überprüfen.   "),"")
&amp;
IF(AND(N143="",OR(AND(K143=11,L143="a"),AND(K143=13,L143="a"))),IFERROR(IF(VLOOKUP(M143,Vereine,4,0)="Nein","",IF(Englisch&lt;&gt;"","Please fill in turnier.de player ID   ","Bitte Spielernummer Turnier.de eintragen.   ")),""),"")
&amp;
IF(M143="","",IF(AND(VLOOKUP(M143,'Vereine - Clubs'!$E:$H,4,0)="Nein",'Teilnehmende - Starters'!S143="x"),IF(Englisch&lt;&gt;"","You can enter singles only if you pay for them.    ","EInzelteilnahme nur bei Übernahme der Bezahlung möglich.    "),""))
&amp;
IF(AND($L143="",$G143&lt;&gt;"",OR($N143&lt;&gt;"",$T143&lt;&gt;"",$W143&lt;&gt;"")),IF(Englisch&lt;&gt;"","Please add the level.     ","Bitte Spielklasse ergänzen.     "),"")</f>
        <v/>
      </c>
      <c r="AA143" s="4">
        <f t="shared" si="260"/>
        <v>0</v>
      </c>
      <c r="AB143" s="4">
        <f t="shared" si="261"/>
        <v>0</v>
      </c>
    </row>
    <row r="144" spans="1:28" ht="15" customHeight="1" x14ac:dyDescent="0.3">
      <c r="A144" s="91" t="str">
        <f t="shared" si="251"/>
        <v/>
      </c>
      <c r="B144" s="10" t="str">
        <f>IF(G144="","",MAX(B$1:B143)+1)</f>
        <v/>
      </c>
      <c r="C144" s="10" t="str">
        <f>IF(B144="","",SUMIF('Vereine - Clubs'!$E$28:$E$47,M144,'Vereine - Clubs'!$C$28:$C$47)*100+B144)</f>
        <v/>
      </c>
      <c r="D144" s="10" t="str">
        <f t="shared" si="258"/>
        <v/>
      </c>
      <c r="E144" s="10" t="str">
        <f>IF(OR($G144="",T144=""),"",IF(AND(SUMIF(T$81:T144,G144&amp;" "&amp;H144,C$81:C144)&lt;20000,OR(COUNTIF(T$81:T144,G144&amp;" "&amp;H144)&gt;0,C144&gt;20000)),"",C144))</f>
        <v/>
      </c>
      <c r="F144" s="10" t="str">
        <f>IF(OR($G144="",W144=""),"",IF(AND(SUMIF(W$81:W144,G144&amp;" "&amp;H144,C$81:C144)&lt;20000,OR(COUNTIF(W$81:W144,G144&amp;" "&amp;H144)&gt;0,C144&gt;20000)),"",C144))</f>
        <v/>
      </c>
      <c r="G144" s="66"/>
      <c r="H144" s="52"/>
      <c r="I144" s="8"/>
      <c r="J144" s="80"/>
      <c r="K144" s="53" t="str">
        <f t="shared" si="252"/>
        <v/>
      </c>
      <c r="L144" s="8"/>
      <c r="M144" s="67" t="str">
        <f>IF(G144="","",'Vereine - Clubs'!$E$28)</f>
        <v/>
      </c>
      <c r="N144" s="40"/>
      <c r="O144" s="43" t="str">
        <f t="shared" si="253"/>
        <v/>
      </c>
      <c r="P144" s="39"/>
      <c r="Q144" s="39"/>
      <c r="R144" s="40"/>
      <c r="S144" s="51" t="str">
        <f>IF(G144="","",
IF(OR(VLOOKUP(M144,'Vereine - Clubs'!E:H,4,0)="Nein",VLOOKUP(M144,'Vereine - Clubs'!E:H,4,0)="No",VLOOKUP(M144,'Vereine - Clubs'!E:H,4,0)="",VLOOKUP(M144,'Vereine - Clubs'!E:H,4,0)="nein",VLOOKUP(M144,'Vereine - Clubs'!E:H,4,0)="no",VLOOKUP(M144,'Vereine - Clubs'!E:H,4,0)=""),"","x"))</f>
        <v/>
      </c>
      <c r="T144" s="66" t="str">
        <f>IF(COUNTIF(T$81:T143,G144&amp;" "&amp;H144)=0,"",VLOOKUP(G144&amp;" "&amp;H144,$AA$5:$AC$80,3,FALSE))</f>
        <v/>
      </c>
      <c r="U144" s="53" t="str">
        <f t="shared" si="259"/>
        <v/>
      </c>
      <c r="V144" s="53" t="str">
        <f t="shared" si="254"/>
        <v/>
      </c>
      <c r="W144" s="52" t="str">
        <f>IF(COUNTIF(W$81:W143,G144&amp;" "&amp;H144)=0,"",VLOOKUP(G144&amp;" "&amp;H144,$AB$5:$AC$80,2,FALSE))</f>
        <v/>
      </c>
      <c r="X144" s="53" t="str">
        <f t="shared" si="257"/>
        <v/>
      </c>
      <c r="Y144" s="54" t="str">
        <f t="shared" si="255"/>
        <v/>
      </c>
      <c r="Z144" s="21" t="str">
        <f>IF(T144="","",IF(OR(T144="searching for partner",T144="Freimeldung",T144="x-partner"),"",IF(ISERROR(VLOOKUP(T144,$F$5:$AT$80,1,0)),IF(Englisch&lt;&gt;"","Please add double partner as participant.     ","Doppelpartner/in bitte noch als Teilnehmer eintragen.     "),IF(VLOOKUP(T144,$F$5:$R$80,4,0)=I144,"",IF(Englisch&lt;&gt;"","Wrong doubles partner     ","Falsche/r Doppelpartner/in     ")))))
&amp;IF(W144="","",IF(OR(W144="searching for partner",W144="Freimeldung",W144="x-partner"),"",IF(ISERROR(VLOOKUP(W144,$F$5:$AT$80,1,0)),IF(Englisch&lt;&gt;"","Please add mixed partner as participant     ","Mixedpartner/in bitte noch als Teilnehmer eintragen.     "),IF(VLOOKUP(W144,$F$5:$R$80,4,0)&lt;&gt;I144,"",IF(Englisch&lt;&gt;"","Wrong mixed partner.     ","Falsche/r Mixedpartner/in     ")))))
&amp;IF(AND(L144&lt;&gt;"",L144&lt;&gt;"A",L144&lt;&gt;"B",L144&lt;&gt;"C",L144&lt;&gt;"D"),IF(Englisch&lt;&gt;"","There is level A,B and C.   ","Dieses Jahr gibt es A-, B- und C-Klassen. Bitte korrigieren.   "),"")
&amp;
IF(AND(L144="B",OR(K144=911)),IF(Englisch&lt;&gt;"","There ist no level B in this age group. Please play in A.   ","In dieser Altersklasse keine B-Klasse. Bitte spiele in A.  "),"")&amp;
IF(AND(L144="A",OR(K144=915,K144=917,K144=919)),IF(Englisch&lt;&gt;"","There ist no level A in this age group. Please play in B.   ","In dieser Altersklasse keine A-Klasse. Bitte spiele in B.  "),"")
&amp;
IF(AND(M144&lt;&gt;"",COUNTIF('Vereine - Clubs'!$E$28:$E$47,M144)=0),IF(Englisch&lt;&gt;"","Please check club   ","Bitte den Verein überprüfen.   "),"")
&amp;
IF(AND(N144="",OR(AND(K144=11,L144="a"),AND(K144=13,L144="a"))),IFERROR(IF(VLOOKUP(M144,Vereine,4,0)="Nein","",IF(Englisch&lt;&gt;"","Please fill in turnier.de player ID   ","Bitte Spielernummer Turnier.de eintragen.   ")),""),"")
&amp;
IF(M144="","",IF(AND(VLOOKUP(M144,'Vereine - Clubs'!$E:$H,4,0)="Nein",'Teilnehmende - Starters'!S144="x"),IF(Englisch&lt;&gt;"","You can enter singles only if you pay for them.    ","EInzelteilnahme nur bei Übernahme der Bezahlung möglich.    "),""))
&amp;
IF(AND($L144="",$G144&lt;&gt;"",OR($N144&lt;&gt;"",$T144&lt;&gt;"",$W144&lt;&gt;"")),IF(Englisch&lt;&gt;"","Please add the level.     ","Bitte Spielklasse ergänzen.     "),"")</f>
        <v/>
      </c>
      <c r="AA144" s="4">
        <f t="shared" si="260"/>
        <v>0</v>
      </c>
      <c r="AB144" s="4">
        <f t="shared" si="261"/>
        <v>0</v>
      </c>
    </row>
    <row r="145" spans="1:28" ht="15" customHeight="1" x14ac:dyDescent="0.3">
      <c r="A145" s="91" t="str">
        <f t="shared" si="251"/>
        <v/>
      </c>
      <c r="B145" s="10" t="str">
        <f>IF(G145="","",MAX(B$1:B144)+1)</f>
        <v/>
      </c>
      <c r="C145" s="10" t="str">
        <f>IF(B145="","",SUMIF('Vereine - Clubs'!$E$28:$E$47,M145,'Vereine - Clubs'!$C$28:$C$47)*100+B145)</f>
        <v/>
      </c>
      <c r="D145" s="10" t="str">
        <f t="shared" ref="D145:D156" si="262">IF(OR($G145="",S145=""),"",C145)</f>
        <v/>
      </c>
      <c r="E145" s="10" t="str">
        <f>IF(OR($G145="",T145=""),"",IF(AND(SUMIF(T$81:T145,G145&amp;" "&amp;H145,C$81:C145)&lt;20000,OR(COUNTIF(T$81:T145,G145&amp;" "&amp;H145)&gt;0,C145&gt;20000)),"",C145))</f>
        <v/>
      </c>
      <c r="F145" s="10" t="str">
        <f>IF(OR($G145="",W145=""),"",IF(AND(SUMIF(W$81:W145,G145&amp;" "&amp;H145,C$81:C145)&lt;20000,OR(COUNTIF(W$81:W145,G145&amp;" "&amp;H145)&gt;0,C145&gt;20000)),"",C145))</f>
        <v/>
      </c>
      <c r="G145" s="66"/>
      <c r="H145" s="52"/>
      <c r="I145" s="8"/>
      <c r="J145" s="80"/>
      <c r="K145" s="53" t="str">
        <f t="shared" si="252"/>
        <v/>
      </c>
      <c r="L145" s="8"/>
      <c r="M145" s="67" t="str">
        <f>IF(G145="","",'Vereine - Clubs'!$E$28)</f>
        <v/>
      </c>
      <c r="N145" s="40"/>
      <c r="O145" s="43" t="str">
        <f t="shared" si="253"/>
        <v/>
      </c>
      <c r="P145" s="39"/>
      <c r="Q145" s="39"/>
      <c r="R145" s="40"/>
      <c r="S145" s="51" t="str">
        <f>IF(G145="","",
IF(OR(VLOOKUP(M145,'Vereine - Clubs'!E:H,4,0)="Nein",VLOOKUP(M145,'Vereine - Clubs'!E:H,4,0)="No",VLOOKUP(M145,'Vereine - Clubs'!E:H,4,0)="",VLOOKUP(M145,'Vereine - Clubs'!E:H,4,0)="nein",VLOOKUP(M145,'Vereine - Clubs'!E:H,4,0)="no",VLOOKUP(M145,'Vereine - Clubs'!E:H,4,0)=""),"","x"))</f>
        <v/>
      </c>
      <c r="T145" s="66" t="str">
        <f>IF(COUNTIF(T$81:T144,G145&amp;" "&amp;H145)=0,"",VLOOKUP(G145&amp;" "&amp;H145,$AA$5:$AC$80,3,FALSE))</f>
        <v/>
      </c>
      <c r="U145" s="53" t="str">
        <f t="shared" ref="U145:U156" si="263">IF(T145="","",IF(OR(T145="Freimeldung",T145="searching for partner",T145="x-partner"),K145,
IF(ISERROR(VLOOKUP(T145,$F$5:$AT$80,1,0)),"",IF(OR(K145="---",VLOOKUP(T145,$F$5:$X$80,6,0)="---"),"",
MAX(11,IF($K145="",19,$K145),IF(VLOOKUP(T145,$F$5:$X$80,6,0)="",19,VLOOKUP(T145,$F$5:$X$80,6,0)))))))</f>
        <v/>
      </c>
      <c r="V145" s="53" t="str">
        <f t="shared" si="254"/>
        <v/>
      </c>
      <c r="W145" s="52" t="str">
        <f>IF(COUNTIF(W$81:W144,G145&amp;" "&amp;H145)=0,"",VLOOKUP(G145&amp;" "&amp;H145,$AB$5:$AC$80,2,FALSE))</f>
        <v/>
      </c>
      <c r="X145" s="53" t="str">
        <f t="shared" si="257"/>
        <v/>
      </c>
      <c r="Y145" s="54" t="str">
        <f t="shared" si="255"/>
        <v/>
      </c>
      <c r="Z145" s="21" t="str">
        <f>IF(T145="","",IF(OR(T145="searching for partner",T145="Freimeldung",T145="x-partner"),"",IF(ISERROR(VLOOKUP(T145,$F$5:$AT$80,1,0)),IF(Englisch&lt;&gt;"","Please add double partner as participant.     ","Doppelpartner/in bitte noch als Teilnehmer eintragen.     "),IF(VLOOKUP(T145,$F$5:$R$80,4,0)=I145,"",IF(Englisch&lt;&gt;"","Wrong doubles partner     ","Falsche/r Doppelpartner/in     ")))))
&amp;IF(W145="","",IF(OR(W145="searching for partner",W145="Freimeldung",W145="x-partner"),"",IF(ISERROR(VLOOKUP(W145,$F$5:$AT$80,1,0)),IF(Englisch&lt;&gt;"","Please add mixed partner as participant     ","Mixedpartner/in bitte noch als Teilnehmer eintragen.     "),IF(VLOOKUP(W145,$F$5:$R$80,4,0)&lt;&gt;I145,"",IF(Englisch&lt;&gt;"","Wrong mixed partner.     ","Falsche/r Mixedpartner/in     ")))))
&amp;IF(AND(L145&lt;&gt;"",L145&lt;&gt;"A",L145&lt;&gt;"B",L145&lt;&gt;"C",L145&lt;&gt;"D"),IF(Englisch&lt;&gt;"","There is level A,B and C.   ","Dieses Jahr gibt es A-, B- und C-Klassen. Bitte korrigieren.   "),"")
&amp;
IF(AND(L145="B",OR(K145=911)),IF(Englisch&lt;&gt;"","There ist no level B in this age group. Please play in A.   ","In dieser Altersklasse keine B-Klasse. Bitte spiele in A.  "),"")&amp;
IF(AND(L145="A",OR(K145=915,K145=917,K145=919)),IF(Englisch&lt;&gt;"","There ist no level A in this age group. Please play in B.   ","In dieser Altersklasse keine A-Klasse. Bitte spiele in B.  "),"")
&amp;
IF(AND(M145&lt;&gt;"",COUNTIF('Vereine - Clubs'!$E$28:$E$47,M145)=0),IF(Englisch&lt;&gt;"","Please check club   ","Bitte den Verein überprüfen.   "),"")
&amp;
IF(AND(N145="",OR(AND(K145=11,L145="a"),AND(K145=13,L145="a"))),IFERROR(IF(VLOOKUP(M145,Vereine,4,0)="Nein","",IF(Englisch&lt;&gt;"","Please fill in turnier.de player ID   ","Bitte Spielernummer Turnier.de eintragen.   ")),""),"")
&amp;
IF(M145="","",IF(AND(VLOOKUP(M145,'Vereine - Clubs'!$E:$H,4,0)="Nein",'Teilnehmende - Starters'!S145="x"),IF(Englisch&lt;&gt;"","You can enter singles only if you pay for them.    ","EInzelteilnahme nur bei Übernahme der Bezahlung möglich.    "),""))
&amp;
IF(AND($L145="",$G145&lt;&gt;"",OR($N145&lt;&gt;"",$T145&lt;&gt;"",$W145&lt;&gt;"")),IF(Englisch&lt;&gt;"","Please add the level.     ","Bitte Spielklasse ergänzen.     "),"")</f>
        <v/>
      </c>
      <c r="AA145" s="4">
        <f t="shared" ref="AA145:AA156" si="264">IF(AND(T145&lt;&gt;"",C145&lt;100000),1,0)</f>
        <v>0</v>
      </c>
      <c r="AB145" s="4">
        <f t="shared" ref="AB145:AB156" si="265">IF(AND(W145&lt;&gt;"",C145&lt;100000),1,0)</f>
        <v>0</v>
      </c>
    </row>
    <row r="146" spans="1:28" ht="15" customHeight="1" x14ac:dyDescent="0.3">
      <c r="A146" s="91" t="str">
        <f t="shared" ref="A146:A156" si="266">IF(AND(G146&lt;&gt;"",H146&lt;&gt;"",COUNTIF(T:T,H146&amp;" "&amp;G146)+COUNTIF(W:W,H146&amp;" "&amp;G146)&gt;0),"Vertauscht","")</f>
        <v/>
      </c>
      <c r="B146" s="10" t="str">
        <f>IF(G146="","",MAX(B$1:B145)+1)</f>
        <v/>
      </c>
      <c r="C146" s="10" t="str">
        <f>IF(B146="","",SUMIF('Vereine - Clubs'!$E$28:$E$47,M146,'Vereine - Clubs'!$C$28:$C$47)*100+B146)</f>
        <v/>
      </c>
      <c r="D146" s="10" t="str">
        <f t="shared" si="262"/>
        <v/>
      </c>
      <c r="E146" s="10" t="str">
        <f>IF(OR($G146="",T146=""),"",IF(AND(SUMIF(T$81:T146,G146&amp;" "&amp;H146,C$81:C146)&lt;20000,OR(COUNTIF(T$81:T146,G146&amp;" "&amp;H146)&gt;0,C146&gt;20000)),"",C146))</f>
        <v/>
      </c>
      <c r="F146" s="10" t="str">
        <f>IF(OR($G146="",W146=""),"",IF(AND(SUMIF(W$81:W146,G146&amp;" "&amp;H146,C$81:C146)&lt;20000,OR(COUNTIF(W$81:W146,G146&amp;" "&amp;H146)&gt;0,C146&gt;20000)),"",C146))</f>
        <v/>
      </c>
      <c r="G146" s="66"/>
      <c r="H146" s="52"/>
      <c r="I146" s="8"/>
      <c r="J146" s="80"/>
      <c r="K146" s="53" t="str">
        <f t="shared" ref="K146:K156" si="267">IF(J146="","",
IF(YEAR(J146)&gt;=2016,11,
IF(YEAR(J146)&gt;=2014,13,
IF(YEAR(J146)&gt;=2012,15,
IF(YEAR(J146)&gt;=2010,17,
IF(YEAR(J146)&gt;=2008,19,"---"))))))</f>
        <v/>
      </c>
      <c r="L146" s="8"/>
      <c r="M146" s="67" t="str">
        <f>IF(G146="","",'Vereine - Clubs'!$E$28)</f>
        <v/>
      </c>
      <c r="N146" s="40"/>
      <c r="O146" s="43" t="str">
        <f t="shared" ref="O146:O156" si="268">IF(J146="","",
IF(YEAR(J146)&gt;=2014,11,
IF(YEAR(J146)&gt;=2012,13,
IF(YEAR(J146)&gt;=2010,15,
IF(YEAR(J146)&gt;=2008,17,"---")))))</f>
        <v/>
      </c>
      <c r="P146" s="39"/>
      <c r="Q146" s="39"/>
      <c r="R146" s="40"/>
      <c r="S146" s="51" t="str">
        <f>IF(G146="","",
IF(OR(VLOOKUP(M146,'Vereine - Clubs'!E:H,4,0)="Nein",VLOOKUP(M146,'Vereine - Clubs'!E:H,4,0)="No",VLOOKUP(M146,'Vereine - Clubs'!E:H,4,0)="",VLOOKUP(M146,'Vereine - Clubs'!E:H,4,0)="nein",VLOOKUP(M146,'Vereine - Clubs'!E:H,4,0)="no",VLOOKUP(M146,'Vereine - Clubs'!E:H,4,0)=""),"","x"))</f>
        <v/>
      </c>
      <c r="T146" s="66" t="str">
        <f>IF(COUNTIF(T$81:T145,G146&amp;" "&amp;H146)=0,"",VLOOKUP(G146&amp;" "&amp;H146,$AA$5:$AC$80,3,FALSE))</f>
        <v/>
      </c>
      <c r="U146" s="53" t="str">
        <f t="shared" si="263"/>
        <v/>
      </c>
      <c r="V146" s="53" t="str">
        <f t="shared" ref="V146:V156" si="269">IF(T146="","",IF(OR(T146="Freimeldung",T146="searching for partner",T146="x-partner"),IF(L146="C","B",L146),
IF(ISERROR(VLOOKUP(T146,$F$5:$AT$80,1,0)),"",
IF(OR(K146="---",VLOOKUP(T146,$F$5:$X$80,6,0)="---"),"",
IF(AND(OR(U146=11,U146=19,U146=20,K146=11,K146=19,K146=20),OR($L146="B",VLOOKUP(T146,$F$5:$X$80,7,0)="B"),"###"="####"),"A",
IF(OR($L146="A",VLOOKUP(T146,$F$5:$X$80,7,0)="A"),"A",
IF(OR($L146="B",VLOOKUP(T146,$F$5:$X$80,7,0)="B"),"B","C")))))))</f>
        <v/>
      </c>
      <c r="W146" s="52" t="str">
        <f>IF(COUNTIF(W$81:W145,G146&amp;" "&amp;H146)=0,"",VLOOKUP(G146&amp;" "&amp;H146,$AB$5:$AC$80,2,FALSE))</f>
        <v/>
      </c>
      <c r="X146" s="53" t="str">
        <f t="shared" si="257"/>
        <v/>
      </c>
      <c r="Y146" s="54" t="str">
        <f t="shared" ref="Y146:Y156" si="270">IF(W146="","",IF(OR(W146="Freimeldung",W146="searching for partner",W146="x-partner"),IF(L146="C","B",L146),
IF(ISERROR(VLOOKUP(W146,$F$5:$AT$80,1,0)),"",
IF(OR(K146="---",VLOOKUP(W146,$F$5:$X$80,6,0)="---"),"",
IF(AND(OR(X146=11,X146=19,X146=20,K146=11,K146=19,K146=20),OR($L146="B",VLOOKUP(W146,$F$5:$X$80,7,0)="B"),"###"="####"),"A",
IF(OR($L146="A",VLOOKUP(W146,$F$5:$X$80,7,0)="A"),"A",
IF(OR($L146="B",VLOOKUP(W146,$F$5:$X$80,7,0)="B"),"B","C")))))))</f>
        <v/>
      </c>
      <c r="Z146" s="21" t="str">
        <f>IF(T146="","",IF(OR(T146="searching for partner",T146="Freimeldung",T146="x-partner"),"",IF(ISERROR(VLOOKUP(T146,$F$5:$AT$80,1,0)),IF(Englisch&lt;&gt;"","Please add double partner as participant.     ","Doppelpartner/in bitte noch als Teilnehmer eintragen.     "),IF(VLOOKUP(T146,$F$5:$R$80,4,0)=I146,"",IF(Englisch&lt;&gt;"","Wrong doubles partner     ","Falsche/r Doppelpartner/in     ")))))
&amp;IF(W146="","",IF(OR(W146="searching for partner",W146="Freimeldung",W146="x-partner"),"",IF(ISERROR(VLOOKUP(W146,$F$5:$AT$80,1,0)),IF(Englisch&lt;&gt;"","Please add mixed partner as participant     ","Mixedpartner/in bitte noch als Teilnehmer eintragen.     "),IF(VLOOKUP(W146,$F$5:$R$80,4,0)&lt;&gt;I146,"",IF(Englisch&lt;&gt;"","Wrong mixed partner.     ","Falsche/r Mixedpartner/in     ")))))
&amp;IF(AND(L146&lt;&gt;"",L146&lt;&gt;"A",L146&lt;&gt;"B",L146&lt;&gt;"C",L146&lt;&gt;"D"),IF(Englisch&lt;&gt;"","There is level A,B and C.   ","Dieses Jahr gibt es A-, B- und C-Klassen. Bitte korrigieren.   "),"")
&amp;
IF(AND(L146="B",OR(K146=911)),IF(Englisch&lt;&gt;"","There ist no level B in this age group. Please play in A.   ","In dieser Altersklasse keine B-Klasse. Bitte spiele in A.  "),"")&amp;
IF(AND(L146="A",OR(K146=915,K146=917,K146=919)),IF(Englisch&lt;&gt;"","There ist no level A in this age group. Please play in B.   ","In dieser Altersklasse keine A-Klasse. Bitte spiele in B.  "),"")
&amp;
IF(AND(M146&lt;&gt;"",COUNTIF('Vereine - Clubs'!$E$28:$E$47,M146)=0),IF(Englisch&lt;&gt;"","Please check club   ","Bitte den Verein überprüfen.   "),"")
&amp;
IF(AND(N146="",OR(AND(K146=11,L146="a"),AND(K146=13,L146="a"))),IFERROR(IF(VLOOKUP(M146,Vereine,4,0)="Nein","",IF(Englisch&lt;&gt;"","Please fill in turnier.de player ID   ","Bitte Spielernummer Turnier.de eintragen.   ")),""),"")
&amp;
IF(M146="","",IF(AND(VLOOKUP(M146,'Vereine - Clubs'!$E:$H,4,0)="Nein",'Teilnehmende - Starters'!S146="x"),IF(Englisch&lt;&gt;"","You can enter singles only if you pay for them.    ","EInzelteilnahme nur bei Übernahme der Bezahlung möglich.    "),""))
&amp;
IF(AND($L146="",$G146&lt;&gt;"",OR($N146&lt;&gt;"",$T146&lt;&gt;"",$W146&lt;&gt;"")),IF(Englisch&lt;&gt;"","Please add the level.     ","Bitte Spielklasse ergänzen.     "),"")</f>
        <v/>
      </c>
      <c r="AA146" s="4">
        <f t="shared" si="264"/>
        <v>0</v>
      </c>
      <c r="AB146" s="4">
        <f t="shared" si="265"/>
        <v>0</v>
      </c>
    </row>
    <row r="147" spans="1:28" ht="15" customHeight="1" x14ac:dyDescent="0.3">
      <c r="A147" s="91" t="str">
        <f t="shared" si="266"/>
        <v/>
      </c>
      <c r="B147" s="10" t="str">
        <f>IF(G147="","",MAX(B$1:B146)+1)</f>
        <v/>
      </c>
      <c r="C147" s="10" t="str">
        <f>IF(B147="","",SUMIF('Vereine - Clubs'!$E$28:$E$47,M147,'Vereine - Clubs'!$C$28:$C$47)*100+B147)</f>
        <v/>
      </c>
      <c r="D147" s="10" t="str">
        <f t="shared" si="262"/>
        <v/>
      </c>
      <c r="E147" s="10" t="str">
        <f>IF(OR($G147="",T147=""),"",IF(AND(SUMIF(T$81:T147,G147&amp;" "&amp;H147,C$81:C147)&lt;20000,OR(COUNTIF(T$81:T147,G147&amp;" "&amp;H147)&gt;0,C147&gt;20000)),"",C147))</f>
        <v/>
      </c>
      <c r="F147" s="10" t="str">
        <f>IF(OR($G147="",W147=""),"",IF(AND(SUMIF(W$81:W147,G147&amp;" "&amp;H147,C$81:C147)&lt;20000,OR(COUNTIF(W$81:W147,G147&amp;" "&amp;H147)&gt;0,C147&gt;20000)),"",C147))</f>
        <v/>
      </c>
      <c r="G147" s="66"/>
      <c r="H147" s="52"/>
      <c r="I147" s="8"/>
      <c r="J147" s="80"/>
      <c r="K147" s="53" t="str">
        <f t="shared" si="267"/>
        <v/>
      </c>
      <c r="L147" s="8"/>
      <c r="M147" s="67" t="str">
        <f>IF(G147="","",'Vereine - Clubs'!$E$28)</f>
        <v/>
      </c>
      <c r="N147" s="40"/>
      <c r="O147" s="43" t="str">
        <f t="shared" si="268"/>
        <v/>
      </c>
      <c r="P147" s="39"/>
      <c r="Q147" s="39"/>
      <c r="R147" s="40"/>
      <c r="S147" s="51" t="str">
        <f>IF(G147="","",
IF(OR(VLOOKUP(M147,'Vereine - Clubs'!E:H,4,0)="Nein",VLOOKUP(M147,'Vereine - Clubs'!E:H,4,0)="No",VLOOKUP(M147,'Vereine - Clubs'!E:H,4,0)="",VLOOKUP(M147,'Vereine - Clubs'!E:H,4,0)="nein",VLOOKUP(M147,'Vereine - Clubs'!E:H,4,0)="no",VLOOKUP(M147,'Vereine - Clubs'!E:H,4,0)=""),"","x"))</f>
        <v/>
      </c>
      <c r="T147" s="66" t="str">
        <f>IF(COUNTIF(T$81:T146,G147&amp;" "&amp;H147)=0,"",VLOOKUP(G147&amp;" "&amp;H147,$AA$5:$AC$80,3,FALSE))</f>
        <v/>
      </c>
      <c r="U147" s="53" t="str">
        <f t="shared" si="263"/>
        <v/>
      </c>
      <c r="V147" s="53" t="str">
        <f t="shared" si="269"/>
        <v/>
      </c>
      <c r="W147" s="52" t="str">
        <f>IF(COUNTIF(W$81:W146,G147&amp;" "&amp;H147)=0,"",VLOOKUP(G147&amp;" "&amp;H147,$AB$5:$AC$80,2,FALSE))</f>
        <v/>
      </c>
      <c r="X147" s="53" t="str">
        <f t="shared" ref="X147:X156" si="271">IF(W147="","",IF(OR(W147="Freimeldung",W147="searching for partner",W147="x-partner"),K147,
IF(ISERROR(VLOOKUP(W147,$F$5:$AT$80,1,0)),"",
MAX(IF(AND(L147="A",VLOOKUP(W147,$F$5:$X$80,7,0)="A"),11,13),IF($K147="",19,$K147),IF(VLOOKUP(W147,$F$5:$X$80,6,0)="",19,VLOOKUP(W147,$F$5:$X$80,6,0))))))</f>
        <v/>
      </c>
      <c r="Y147" s="54" t="str">
        <f t="shared" si="270"/>
        <v/>
      </c>
      <c r="Z147" s="21" t="str">
        <f>IF(T147="","",IF(OR(T147="searching for partner",T147="Freimeldung",T147="x-partner"),"",IF(ISERROR(VLOOKUP(T147,$F$5:$AT$80,1,0)),IF(Englisch&lt;&gt;"","Please add double partner as participant.     ","Doppelpartner/in bitte noch als Teilnehmer eintragen.     "),IF(VLOOKUP(T147,$F$5:$R$80,4,0)=I147,"",IF(Englisch&lt;&gt;"","Wrong doubles partner     ","Falsche/r Doppelpartner/in     ")))))
&amp;IF(W147="","",IF(OR(W147="searching for partner",W147="Freimeldung",W147="x-partner"),"",IF(ISERROR(VLOOKUP(W147,$F$5:$AT$80,1,0)),IF(Englisch&lt;&gt;"","Please add mixed partner as participant     ","Mixedpartner/in bitte noch als Teilnehmer eintragen.     "),IF(VLOOKUP(W147,$F$5:$R$80,4,0)&lt;&gt;I147,"",IF(Englisch&lt;&gt;"","Wrong mixed partner.     ","Falsche/r Mixedpartner/in     ")))))
&amp;IF(AND(L147&lt;&gt;"",L147&lt;&gt;"A",L147&lt;&gt;"B",L147&lt;&gt;"C",L147&lt;&gt;"D"),IF(Englisch&lt;&gt;"","There is level A,B and C.   ","Dieses Jahr gibt es A-, B- und C-Klassen. Bitte korrigieren.   "),"")
&amp;
IF(AND(L147="B",OR(K147=911)),IF(Englisch&lt;&gt;"","There ist no level B in this age group. Please play in A.   ","In dieser Altersklasse keine B-Klasse. Bitte spiele in A.  "),"")&amp;
IF(AND(L147="A",OR(K147=915,K147=917,K147=919)),IF(Englisch&lt;&gt;"","There ist no level A in this age group. Please play in B.   ","In dieser Altersklasse keine A-Klasse. Bitte spiele in B.  "),"")
&amp;
IF(AND(M147&lt;&gt;"",COUNTIF('Vereine - Clubs'!$E$28:$E$47,M147)=0),IF(Englisch&lt;&gt;"","Please check club   ","Bitte den Verein überprüfen.   "),"")
&amp;
IF(AND(N147="",OR(AND(K147=11,L147="a"),AND(K147=13,L147="a"))),IFERROR(IF(VLOOKUP(M147,Vereine,4,0)="Nein","",IF(Englisch&lt;&gt;"","Please fill in turnier.de player ID   ","Bitte Spielernummer Turnier.de eintragen.   ")),""),"")
&amp;
IF(M147="","",IF(AND(VLOOKUP(M147,'Vereine - Clubs'!$E:$H,4,0)="Nein",'Teilnehmende - Starters'!S147="x"),IF(Englisch&lt;&gt;"","You can enter singles only if you pay for them.    ","EInzelteilnahme nur bei Übernahme der Bezahlung möglich.    "),""))
&amp;
IF(AND($L147="",$G147&lt;&gt;"",OR($N147&lt;&gt;"",$T147&lt;&gt;"",$W147&lt;&gt;"")),IF(Englisch&lt;&gt;"","Please add the level.     ","Bitte Spielklasse ergänzen.     "),"")</f>
        <v/>
      </c>
      <c r="AA147" s="4">
        <f t="shared" si="264"/>
        <v>0</v>
      </c>
      <c r="AB147" s="4">
        <f t="shared" si="265"/>
        <v>0</v>
      </c>
    </row>
    <row r="148" spans="1:28" ht="15" customHeight="1" x14ac:dyDescent="0.3">
      <c r="A148" s="91" t="str">
        <f t="shared" si="266"/>
        <v/>
      </c>
      <c r="B148" s="10" t="str">
        <f>IF(G148="","",MAX(B$1:B147)+1)</f>
        <v/>
      </c>
      <c r="C148" s="10" t="str">
        <f>IF(B148="","",SUMIF('Vereine - Clubs'!$E$28:$E$47,M148,'Vereine - Clubs'!$C$28:$C$47)*100+B148)</f>
        <v/>
      </c>
      <c r="D148" s="10" t="str">
        <f t="shared" si="262"/>
        <v/>
      </c>
      <c r="E148" s="10" t="str">
        <f>IF(OR($G148="",T148=""),"",IF(AND(SUMIF(T$81:T148,G148&amp;" "&amp;H148,C$81:C148)&lt;20000,OR(COUNTIF(T$81:T148,G148&amp;" "&amp;H148)&gt;0,C148&gt;20000)),"",C148))</f>
        <v/>
      </c>
      <c r="F148" s="10" t="str">
        <f>IF(OR($G148="",W148=""),"",IF(AND(SUMIF(W$81:W148,G148&amp;" "&amp;H148,C$81:C148)&lt;20000,OR(COUNTIF(W$81:W148,G148&amp;" "&amp;H148)&gt;0,C148&gt;20000)),"",C148))</f>
        <v/>
      </c>
      <c r="G148" s="66"/>
      <c r="H148" s="52"/>
      <c r="I148" s="8"/>
      <c r="J148" s="80"/>
      <c r="K148" s="53" t="str">
        <f t="shared" si="267"/>
        <v/>
      </c>
      <c r="L148" s="8"/>
      <c r="M148" s="67" t="str">
        <f>IF(G148="","",'Vereine - Clubs'!$E$28)</f>
        <v/>
      </c>
      <c r="N148" s="40"/>
      <c r="O148" s="43" t="str">
        <f t="shared" si="268"/>
        <v/>
      </c>
      <c r="P148" s="39"/>
      <c r="Q148" s="39"/>
      <c r="R148" s="40"/>
      <c r="S148" s="51" t="str">
        <f>IF(G148="","",
IF(OR(VLOOKUP(M148,'Vereine - Clubs'!E:H,4,0)="Nein",VLOOKUP(M148,'Vereine - Clubs'!E:H,4,0)="No",VLOOKUP(M148,'Vereine - Clubs'!E:H,4,0)="",VLOOKUP(M148,'Vereine - Clubs'!E:H,4,0)="nein",VLOOKUP(M148,'Vereine - Clubs'!E:H,4,0)="no",VLOOKUP(M148,'Vereine - Clubs'!E:H,4,0)=""),"","x"))</f>
        <v/>
      </c>
      <c r="T148" s="66" t="str">
        <f>IF(COUNTIF(T$81:T147,G148&amp;" "&amp;H148)=0,"",VLOOKUP(G148&amp;" "&amp;H148,$AA$5:$AC$80,3,FALSE))</f>
        <v/>
      </c>
      <c r="U148" s="53" t="str">
        <f t="shared" si="263"/>
        <v/>
      </c>
      <c r="V148" s="53" t="str">
        <f t="shared" si="269"/>
        <v/>
      </c>
      <c r="W148" s="52" t="str">
        <f>IF(COUNTIF(W$81:W147,G148&amp;" "&amp;H148)=0,"",VLOOKUP(G148&amp;" "&amp;H148,$AB$5:$AC$80,2,FALSE))</f>
        <v/>
      </c>
      <c r="X148" s="53" t="str">
        <f t="shared" si="271"/>
        <v/>
      </c>
      <c r="Y148" s="54" t="str">
        <f t="shared" si="270"/>
        <v/>
      </c>
      <c r="Z148" s="21" t="str">
        <f>IF(T148="","",IF(OR(T148="searching for partner",T148="Freimeldung",T148="x-partner"),"",IF(ISERROR(VLOOKUP(T148,$F$5:$AT$80,1,0)),IF(Englisch&lt;&gt;"","Please add double partner as participant.     ","Doppelpartner/in bitte noch als Teilnehmer eintragen.     "),IF(VLOOKUP(T148,$F$5:$R$80,4,0)=I148,"",IF(Englisch&lt;&gt;"","Wrong doubles partner     ","Falsche/r Doppelpartner/in     ")))))
&amp;IF(W148="","",IF(OR(W148="searching for partner",W148="Freimeldung",W148="x-partner"),"",IF(ISERROR(VLOOKUP(W148,$F$5:$AT$80,1,0)),IF(Englisch&lt;&gt;"","Please add mixed partner as participant     ","Mixedpartner/in bitte noch als Teilnehmer eintragen.     "),IF(VLOOKUP(W148,$F$5:$R$80,4,0)&lt;&gt;I148,"",IF(Englisch&lt;&gt;"","Wrong mixed partner.     ","Falsche/r Mixedpartner/in     ")))))
&amp;IF(AND(L148&lt;&gt;"",L148&lt;&gt;"A",L148&lt;&gt;"B",L148&lt;&gt;"C",L148&lt;&gt;"D"),IF(Englisch&lt;&gt;"","There is level A,B and C.   ","Dieses Jahr gibt es A-, B- und C-Klassen. Bitte korrigieren.   "),"")
&amp;
IF(AND(L148="B",OR(K148=911)),IF(Englisch&lt;&gt;"","There ist no level B in this age group. Please play in A.   ","In dieser Altersklasse keine B-Klasse. Bitte spiele in A.  "),"")&amp;
IF(AND(L148="A",OR(K148=915,K148=917,K148=919)),IF(Englisch&lt;&gt;"","There ist no level A in this age group. Please play in B.   ","In dieser Altersklasse keine A-Klasse. Bitte spiele in B.  "),"")
&amp;
IF(AND(M148&lt;&gt;"",COUNTIF('Vereine - Clubs'!$E$28:$E$47,M148)=0),IF(Englisch&lt;&gt;"","Please check club   ","Bitte den Verein überprüfen.   "),"")
&amp;
IF(AND(N148="",OR(AND(K148=11,L148="a"),AND(K148=13,L148="a"))),IFERROR(IF(VLOOKUP(M148,Vereine,4,0)="Nein","",IF(Englisch&lt;&gt;"","Please fill in turnier.de player ID   ","Bitte Spielernummer Turnier.de eintragen.   ")),""),"")
&amp;
IF(M148="","",IF(AND(VLOOKUP(M148,'Vereine - Clubs'!$E:$H,4,0)="Nein",'Teilnehmende - Starters'!S148="x"),IF(Englisch&lt;&gt;"","You can enter singles only if you pay for them.    ","EInzelteilnahme nur bei Übernahme der Bezahlung möglich.    "),""))
&amp;
IF(AND($L148="",$G148&lt;&gt;"",OR($N148&lt;&gt;"",$T148&lt;&gt;"",$W148&lt;&gt;"")),IF(Englisch&lt;&gt;"","Please add the level.     ","Bitte Spielklasse ergänzen.     "),"")</f>
        <v/>
      </c>
      <c r="AA148" s="4">
        <f t="shared" si="264"/>
        <v>0</v>
      </c>
      <c r="AB148" s="4">
        <f t="shared" si="265"/>
        <v>0</v>
      </c>
    </row>
    <row r="149" spans="1:28" ht="15" customHeight="1" x14ac:dyDescent="0.3">
      <c r="A149" s="91" t="str">
        <f t="shared" si="266"/>
        <v/>
      </c>
      <c r="B149" s="10" t="str">
        <f>IF(G149="","",MAX(B$1:B148)+1)</f>
        <v/>
      </c>
      <c r="C149" s="10" t="str">
        <f>IF(B149="","",SUMIF('Vereine - Clubs'!$E$28:$E$47,M149,'Vereine - Clubs'!$C$28:$C$47)*100+B149)</f>
        <v/>
      </c>
      <c r="D149" s="10" t="str">
        <f t="shared" si="262"/>
        <v/>
      </c>
      <c r="E149" s="10" t="str">
        <f>IF(OR($G149="",T149=""),"",IF(AND(SUMIF(T$81:T149,G149&amp;" "&amp;H149,C$81:C149)&lt;20000,OR(COUNTIF(T$81:T149,G149&amp;" "&amp;H149)&gt;0,C149&gt;20000)),"",C149))</f>
        <v/>
      </c>
      <c r="F149" s="10" t="str">
        <f>IF(OR($G149="",W149=""),"",IF(AND(SUMIF(W$81:W149,G149&amp;" "&amp;H149,C$81:C149)&lt;20000,OR(COUNTIF(W$81:W149,G149&amp;" "&amp;H149)&gt;0,C149&gt;20000)),"",C149))</f>
        <v/>
      </c>
      <c r="G149" s="66"/>
      <c r="H149" s="52"/>
      <c r="I149" s="8"/>
      <c r="J149" s="80"/>
      <c r="K149" s="53" t="str">
        <f t="shared" si="267"/>
        <v/>
      </c>
      <c r="L149" s="8"/>
      <c r="M149" s="67" t="str">
        <f>IF(G149="","",'Vereine - Clubs'!$E$28)</f>
        <v/>
      </c>
      <c r="N149" s="40"/>
      <c r="O149" s="43" t="str">
        <f t="shared" si="268"/>
        <v/>
      </c>
      <c r="P149" s="39"/>
      <c r="Q149" s="39"/>
      <c r="R149" s="40"/>
      <c r="S149" s="51" t="str">
        <f>IF(G149="","",
IF(OR(VLOOKUP(M149,'Vereine - Clubs'!E:H,4,0)="Nein",VLOOKUP(M149,'Vereine - Clubs'!E:H,4,0)="No",VLOOKUP(M149,'Vereine - Clubs'!E:H,4,0)="",VLOOKUP(M149,'Vereine - Clubs'!E:H,4,0)="nein",VLOOKUP(M149,'Vereine - Clubs'!E:H,4,0)="no",VLOOKUP(M149,'Vereine - Clubs'!E:H,4,0)=""),"","x"))</f>
        <v/>
      </c>
      <c r="T149" s="66" t="str">
        <f>IF(COUNTIF(T$81:T148,G149&amp;" "&amp;H149)=0,"",VLOOKUP(G149&amp;" "&amp;H149,$AA$5:$AC$80,3,FALSE))</f>
        <v/>
      </c>
      <c r="U149" s="53" t="str">
        <f t="shared" si="263"/>
        <v/>
      </c>
      <c r="V149" s="53" t="str">
        <f t="shared" si="269"/>
        <v/>
      </c>
      <c r="W149" s="52" t="str">
        <f>IF(COUNTIF(W$81:W148,G149&amp;" "&amp;H149)=0,"",VLOOKUP(G149&amp;" "&amp;H149,$AB$5:$AC$80,2,FALSE))</f>
        <v/>
      </c>
      <c r="X149" s="53" t="str">
        <f t="shared" si="271"/>
        <v/>
      </c>
      <c r="Y149" s="54" t="str">
        <f t="shared" si="270"/>
        <v/>
      </c>
      <c r="Z149" s="21" t="str">
        <f>IF(T149="","",IF(OR(T149="searching for partner",T149="Freimeldung",T149="x-partner"),"",IF(ISERROR(VLOOKUP(T149,$F$5:$AT$80,1,0)),IF(Englisch&lt;&gt;"","Please add double partner as participant.     ","Doppelpartner/in bitte noch als Teilnehmer eintragen.     "),IF(VLOOKUP(T149,$F$5:$R$80,4,0)=I149,"",IF(Englisch&lt;&gt;"","Wrong doubles partner     ","Falsche/r Doppelpartner/in     ")))))
&amp;IF(W149="","",IF(OR(W149="searching for partner",W149="Freimeldung",W149="x-partner"),"",IF(ISERROR(VLOOKUP(W149,$F$5:$AT$80,1,0)),IF(Englisch&lt;&gt;"","Please add mixed partner as participant     ","Mixedpartner/in bitte noch als Teilnehmer eintragen.     "),IF(VLOOKUP(W149,$F$5:$R$80,4,0)&lt;&gt;I149,"",IF(Englisch&lt;&gt;"","Wrong mixed partner.     ","Falsche/r Mixedpartner/in     ")))))
&amp;IF(AND(L149&lt;&gt;"",L149&lt;&gt;"A",L149&lt;&gt;"B",L149&lt;&gt;"C",L149&lt;&gt;"D"),IF(Englisch&lt;&gt;"","There is level A,B and C.   ","Dieses Jahr gibt es A-, B- und C-Klassen. Bitte korrigieren.   "),"")
&amp;
IF(AND(L149="B",OR(K149=911)),IF(Englisch&lt;&gt;"","There ist no level B in this age group. Please play in A.   ","In dieser Altersklasse keine B-Klasse. Bitte spiele in A.  "),"")&amp;
IF(AND(L149="A",OR(K149=915,K149=917,K149=919)),IF(Englisch&lt;&gt;"","There ist no level A in this age group. Please play in B.   ","In dieser Altersklasse keine A-Klasse. Bitte spiele in B.  "),"")
&amp;
IF(AND(M149&lt;&gt;"",COUNTIF('Vereine - Clubs'!$E$28:$E$47,M149)=0),IF(Englisch&lt;&gt;"","Please check club   ","Bitte den Verein überprüfen.   "),"")
&amp;
IF(AND(N149="",OR(AND(K149=11,L149="a"),AND(K149=13,L149="a"))),IFERROR(IF(VLOOKUP(M149,Vereine,4,0)="Nein","",IF(Englisch&lt;&gt;"","Please fill in turnier.de player ID   ","Bitte Spielernummer Turnier.de eintragen.   ")),""),"")
&amp;
IF(M149="","",IF(AND(VLOOKUP(M149,'Vereine - Clubs'!$E:$H,4,0)="Nein",'Teilnehmende - Starters'!S149="x"),IF(Englisch&lt;&gt;"","You can enter singles only if you pay for them.    ","EInzelteilnahme nur bei Übernahme der Bezahlung möglich.    "),""))
&amp;
IF(AND($L149="",$G149&lt;&gt;"",OR($N149&lt;&gt;"",$T149&lt;&gt;"",$W149&lt;&gt;"")),IF(Englisch&lt;&gt;"","Please add the level.     ","Bitte Spielklasse ergänzen.     "),"")</f>
        <v/>
      </c>
      <c r="AA149" s="4">
        <f t="shared" si="264"/>
        <v>0</v>
      </c>
      <c r="AB149" s="4">
        <f t="shared" si="265"/>
        <v>0</v>
      </c>
    </row>
    <row r="150" spans="1:28" ht="15" customHeight="1" x14ac:dyDescent="0.3">
      <c r="A150" s="91" t="str">
        <f t="shared" si="266"/>
        <v/>
      </c>
      <c r="B150" s="10" t="str">
        <f>IF(G150="","",MAX(B$1:B149)+1)</f>
        <v/>
      </c>
      <c r="C150" s="10" t="str">
        <f>IF(B150="","",SUMIF('Vereine - Clubs'!$E$28:$E$47,M150,'Vereine - Clubs'!$C$28:$C$47)*100+B150)</f>
        <v/>
      </c>
      <c r="D150" s="10" t="str">
        <f t="shared" si="262"/>
        <v/>
      </c>
      <c r="E150" s="10" t="str">
        <f>IF(OR($G150="",T150=""),"",IF(AND(SUMIF(T$81:T150,G150&amp;" "&amp;H150,C$81:C150)&lt;20000,OR(COUNTIF(T$81:T150,G150&amp;" "&amp;H150)&gt;0,C150&gt;20000)),"",C150))</f>
        <v/>
      </c>
      <c r="F150" s="10" t="str">
        <f>IF(OR($G150="",W150=""),"",IF(AND(SUMIF(W$81:W150,G150&amp;" "&amp;H150,C$81:C150)&lt;20000,OR(COUNTIF(W$81:W150,G150&amp;" "&amp;H150)&gt;0,C150&gt;20000)),"",C150))</f>
        <v/>
      </c>
      <c r="G150" s="66"/>
      <c r="H150" s="52"/>
      <c r="I150" s="8"/>
      <c r="J150" s="80"/>
      <c r="K150" s="53" t="str">
        <f t="shared" si="267"/>
        <v/>
      </c>
      <c r="L150" s="8"/>
      <c r="M150" s="67" t="str">
        <f>IF(G150="","",'Vereine - Clubs'!$E$28)</f>
        <v/>
      </c>
      <c r="N150" s="40"/>
      <c r="O150" s="43" t="str">
        <f t="shared" si="268"/>
        <v/>
      </c>
      <c r="P150" s="39"/>
      <c r="Q150" s="39"/>
      <c r="R150" s="40"/>
      <c r="S150" s="51" t="str">
        <f>IF(G150="","",
IF(OR(VLOOKUP(M150,'Vereine - Clubs'!E:H,4,0)="Nein",VLOOKUP(M150,'Vereine - Clubs'!E:H,4,0)="No",VLOOKUP(M150,'Vereine - Clubs'!E:H,4,0)="",VLOOKUP(M150,'Vereine - Clubs'!E:H,4,0)="nein",VLOOKUP(M150,'Vereine - Clubs'!E:H,4,0)="no",VLOOKUP(M150,'Vereine - Clubs'!E:H,4,0)=""),"","x"))</f>
        <v/>
      </c>
      <c r="T150" s="66" t="str">
        <f>IF(COUNTIF(T$81:T149,G150&amp;" "&amp;H150)=0,"",VLOOKUP(G150&amp;" "&amp;H150,$AA$5:$AC$80,3,FALSE))</f>
        <v/>
      </c>
      <c r="U150" s="53" t="str">
        <f t="shared" si="263"/>
        <v/>
      </c>
      <c r="V150" s="53" t="str">
        <f t="shared" si="269"/>
        <v/>
      </c>
      <c r="W150" s="52" t="str">
        <f>IF(COUNTIF(W$81:W149,G150&amp;" "&amp;H150)=0,"",VLOOKUP(G150&amp;" "&amp;H150,$AB$5:$AC$80,2,FALSE))</f>
        <v/>
      </c>
      <c r="X150" s="53" t="str">
        <f t="shared" si="271"/>
        <v/>
      </c>
      <c r="Y150" s="54" t="str">
        <f t="shared" si="270"/>
        <v/>
      </c>
      <c r="Z150" s="21" t="str">
        <f>IF(T150="","",IF(OR(T150="searching for partner",T150="Freimeldung",T150="x-partner"),"",IF(ISERROR(VLOOKUP(T150,$F$5:$AT$80,1,0)),IF(Englisch&lt;&gt;"","Please add double partner as participant.     ","Doppelpartner/in bitte noch als Teilnehmer eintragen.     "),IF(VLOOKUP(T150,$F$5:$R$80,4,0)=I150,"",IF(Englisch&lt;&gt;"","Wrong doubles partner     ","Falsche/r Doppelpartner/in     ")))))
&amp;IF(W150="","",IF(OR(W150="searching for partner",W150="Freimeldung",W150="x-partner"),"",IF(ISERROR(VLOOKUP(W150,$F$5:$AT$80,1,0)),IF(Englisch&lt;&gt;"","Please add mixed partner as participant     ","Mixedpartner/in bitte noch als Teilnehmer eintragen.     "),IF(VLOOKUP(W150,$F$5:$R$80,4,0)&lt;&gt;I150,"",IF(Englisch&lt;&gt;"","Wrong mixed partner.     ","Falsche/r Mixedpartner/in     ")))))
&amp;IF(AND(L150&lt;&gt;"",L150&lt;&gt;"A",L150&lt;&gt;"B",L150&lt;&gt;"C",L150&lt;&gt;"D"),IF(Englisch&lt;&gt;"","There is level A,B and C.   ","Dieses Jahr gibt es A-, B- und C-Klassen. Bitte korrigieren.   "),"")
&amp;
IF(AND(L150="B",OR(K150=911)),IF(Englisch&lt;&gt;"","There ist no level B in this age group. Please play in A.   ","In dieser Altersklasse keine B-Klasse. Bitte spiele in A.  "),"")&amp;
IF(AND(L150="A",OR(K150=915,K150=917,K150=919)),IF(Englisch&lt;&gt;"","There ist no level A in this age group. Please play in B.   ","In dieser Altersklasse keine A-Klasse. Bitte spiele in B.  "),"")
&amp;
IF(AND(M150&lt;&gt;"",COUNTIF('Vereine - Clubs'!$E$28:$E$47,M150)=0),IF(Englisch&lt;&gt;"","Please check club   ","Bitte den Verein überprüfen.   "),"")
&amp;
IF(AND(N150="",OR(AND(K150=11,L150="a"),AND(K150=13,L150="a"))),IFERROR(IF(VLOOKUP(M150,Vereine,4,0)="Nein","",IF(Englisch&lt;&gt;"","Please fill in turnier.de player ID   ","Bitte Spielernummer Turnier.de eintragen.   ")),""),"")
&amp;
IF(M150="","",IF(AND(VLOOKUP(M150,'Vereine - Clubs'!$E:$H,4,0)="Nein",'Teilnehmende - Starters'!S150="x"),IF(Englisch&lt;&gt;"","You can enter singles only if you pay for them.    ","EInzelteilnahme nur bei Übernahme der Bezahlung möglich.    "),""))
&amp;
IF(AND($L150="",$G150&lt;&gt;"",OR($N150&lt;&gt;"",$T150&lt;&gt;"",$W150&lt;&gt;"")),IF(Englisch&lt;&gt;"","Please add the level.     ","Bitte Spielklasse ergänzen.     "),"")</f>
        <v/>
      </c>
      <c r="AA150" s="4">
        <f t="shared" si="264"/>
        <v>0</v>
      </c>
      <c r="AB150" s="4">
        <f t="shared" si="265"/>
        <v>0</v>
      </c>
    </row>
    <row r="151" spans="1:28" ht="15" customHeight="1" x14ac:dyDescent="0.3">
      <c r="A151" s="91" t="str">
        <f t="shared" si="266"/>
        <v/>
      </c>
      <c r="B151" s="10" t="str">
        <f>IF(G151="","",MAX(B$1:B150)+1)</f>
        <v/>
      </c>
      <c r="C151" s="10" t="str">
        <f>IF(B151="","",SUMIF('Vereine - Clubs'!$E$28:$E$47,M151,'Vereine - Clubs'!$C$28:$C$47)*100+B151)</f>
        <v/>
      </c>
      <c r="D151" s="10" t="str">
        <f t="shared" si="262"/>
        <v/>
      </c>
      <c r="E151" s="10" t="str">
        <f>IF(OR($G151="",T151=""),"",IF(AND(SUMIF(T$81:T151,G151&amp;" "&amp;H151,C$81:C151)&lt;20000,OR(COUNTIF(T$81:T151,G151&amp;" "&amp;H151)&gt;0,C151&gt;20000)),"",C151))</f>
        <v/>
      </c>
      <c r="F151" s="10" t="str">
        <f>IF(OR($G151="",W151=""),"",IF(AND(SUMIF(W$81:W151,G151&amp;" "&amp;H151,C$81:C151)&lt;20000,OR(COUNTIF(W$81:W151,G151&amp;" "&amp;H151)&gt;0,C151&gt;20000)),"",C151))</f>
        <v/>
      </c>
      <c r="G151" s="66"/>
      <c r="H151" s="52"/>
      <c r="I151" s="8"/>
      <c r="J151" s="80"/>
      <c r="K151" s="53" t="str">
        <f t="shared" si="267"/>
        <v/>
      </c>
      <c r="L151" s="8"/>
      <c r="M151" s="67" t="str">
        <f>IF(G151="","",'Vereine - Clubs'!$E$28)</f>
        <v/>
      </c>
      <c r="N151" s="40"/>
      <c r="O151" s="43" t="str">
        <f t="shared" si="268"/>
        <v/>
      </c>
      <c r="P151" s="39"/>
      <c r="Q151" s="39"/>
      <c r="R151" s="40"/>
      <c r="S151" s="51" t="str">
        <f>IF(G151="","",
IF(OR(VLOOKUP(M151,'Vereine - Clubs'!E:H,4,0)="Nein",VLOOKUP(M151,'Vereine - Clubs'!E:H,4,0)="No",VLOOKUP(M151,'Vereine - Clubs'!E:H,4,0)="",VLOOKUP(M151,'Vereine - Clubs'!E:H,4,0)="nein",VLOOKUP(M151,'Vereine - Clubs'!E:H,4,0)="no",VLOOKUP(M151,'Vereine - Clubs'!E:H,4,0)=""),"","x"))</f>
        <v/>
      </c>
      <c r="T151" s="66" t="str">
        <f>IF(COUNTIF(T$81:T150,G151&amp;" "&amp;H151)=0,"",VLOOKUP(G151&amp;" "&amp;H151,$AA$5:$AC$80,3,FALSE))</f>
        <v/>
      </c>
      <c r="U151" s="53" t="str">
        <f t="shared" si="263"/>
        <v/>
      </c>
      <c r="V151" s="53" t="str">
        <f t="shared" si="269"/>
        <v/>
      </c>
      <c r="W151" s="52" t="str">
        <f>IF(COUNTIF(W$81:W150,G151&amp;" "&amp;H151)=0,"",VLOOKUP(G151&amp;" "&amp;H151,$AB$5:$AC$80,2,FALSE))</f>
        <v/>
      </c>
      <c r="X151" s="53" t="str">
        <f t="shared" si="271"/>
        <v/>
      </c>
      <c r="Y151" s="54" t="str">
        <f t="shared" si="270"/>
        <v/>
      </c>
      <c r="Z151" s="21" t="str">
        <f>IF(T151="","",IF(OR(T151="searching for partner",T151="Freimeldung",T151="x-partner"),"",IF(ISERROR(VLOOKUP(T151,$F$5:$AT$80,1,0)),IF(Englisch&lt;&gt;"","Please add double partner as participant.     ","Doppelpartner/in bitte noch als Teilnehmer eintragen.     "),IF(VLOOKUP(T151,$F$5:$R$80,4,0)=I151,"",IF(Englisch&lt;&gt;"","Wrong doubles partner     ","Falsche/r Doppelpartner/in     ")))))
&amp;IF(W151="","",IF(OR(W151="searching for partner",W151="Freimeldung",W151="x-partner"),"",IF(ISERROR(VLOOKUP(W151,$F$5:$AT$80,1,0)),IF(Englisch&lt;&gt;"","Please add mixed partner as participant     ","Mixedpartner/in bitte noch als Teilnehmer eintragen.     "),IF(VLOOKUP(W151,$F$5:$R$80,4,0)&lt;&gt;I151,"",IF(Englisch&lt;&gt;"","Wrong mixed partner.     ","Falsche/r Mixedpartner/in     ")))))
&amp;IF(AND(L151&lt;&gt;"",L151&lt;&gt;"A",L151&lt;&gt;"B",L151&lt;&gt;"C",L151&lt;&gt;"D"),IF(Englisch&lt;&gt;"","There is level A,B and C.   ","Dieses Jahr gibt es A-, B- und C-Klassen. Bitte korrigieren.   "),"")
&amp;
IF(AND(L151="B",OR(K151=911)),IF(Englisch&lt;&gt;"","There ist no level B in this age group. Please play in A.   ","In dieser Altersklasse keine B-Klasse. Bitte spiele in A.  "),"")&amp;
IF(AND(L151="A",OR(K151=915,K151=917,K151=919)),IF(Englisch&lt;&gt;"","There ist no level A in this age group. Please play in B.   ","In dieser Altersklasse keine A-Klasse. Bitte spiele in B.  "),"")
&amp;
IF(AND(M151&lt;&gt;"",COUNTIF('Vereine - Clubs'!$E$28:$E$47,M151)=0),IF(Englisch&lt;&gt;"","Please check club   ","Bitte den Verein überprüfen.   "),"")
&amp;
IF(AND(N151="",OR(AND(K151=11,L151="a"),AND(K151=13,L151="a"))),IFERROR(IF(VLOOKUP(M151,Vereine,4,0)="Nein","",IF(Englisch&lt;&gt;"","Please fill in turnier.de player ID   ","Bitte Spielernummer Turnier.de eintragen.   ")),""),"")
&amp;
IF(M151="","",IF(AND(VLOOKUP(M151,'Vereine - Clubs'!$E:$H,4,0)="Nein",'Teilnehmende - Starters'!S151="x"),IF(Englisch&lt;&gt;"","You can enter singles only if you pay for them.    ","EInzelteilnahme nur bei Übernahme der Bezahlung möglich.    "),""))
&amp;
IF(AND($L151="",$G151&lt;&gt;"",OR($N151&lt;&gt;"",$T151&lt;&gt;"",$W151&lt;&gt;"")),IF(Englisch&lt;&gt;"","Please add the level.     ","Bitte Spielklasse ergänzen.     "),"")</f>
        <v/>
      </c>
      <c r="AA151" s="4">
        <f t="shared" si="264"/>
        <v>0</v>
      </c>
      <c r="AB151" s="4">
        <f t="shared" si="265"/>
        <v>0</v>
      </c>
    </row>
    <row r="152" spans="1:28" ht="15" customHeight="1" x14ac:dyDescent="0.3">
      <c r="A152" s="91" t="str">
        <f t="shared" si="266"/>
        <v/>
      </c>
      <c r="B152" s="10" t="str">
        <f>IF(G152="","",MAX(B$1:B151)+1)</f>
        <v/>
      </c>
      <c r="C152" s="10" t="str">
        <f>IF(B152="","",SUMIF('Vereine - Clubs'!$E$28:$E$47,M152,'Vereine - Clubs'!$C$28:$C$47)*100+B152)</f>
        <v/>
      </c>
      <c r="D152" s="10" t="str">
        <f t="shared" si="262"/>
        <v/>
      </c>
      <c r="E152" s="10" t="str">
        <f>IF(OR($G152="",T152=""),"",IF(AND(SUMIF(T$81:T152,G152&amp;" "&amp;H152,C$81:C152)&lt;20000,OR(COUNTIF(T$81:T152,G152&amp;" "&amp;H152)&gt;0,C152&gt;20000)),"",C152))</f>
        <v/>
      </c>
      <c r="F152" s="10" t="str">
        <f>IF(OR($G152="",W152=""),"",IF(AND(SUMIF(W$81:W152,G152&amp;" "&amp;H152,C$81:C152)&lt;20000,OR(COUNTIF(W$81:W152,G152&amp;" "&amp;H152)&gt;0,C152&gt;20000)),"",C152))</f>
        <v/>
      </c>
      <c r="G152" s="66"/>
      <c r="H152" s="52"/>
      <c r="I152" s="8"/>
      <c r="J152" s="80"/>
      <c r="K152" s="53" t="str">
        <f t="shared" si="267"/>
        <v/>
      </c>
      <c r="L152" s="8"/>
      <c r="M152" s="67" t="str">
        <f>IF(G152="","",'Vereine - Clubs'!$E$28)</f>
        <v/>
      </c>
      <c r="N152" s="40"/>
      <c r="O152" s="43" t="str">
        <f t="shared" si="268"/>
        <v/>
      </c>
      <c r="P152" s="39"/>
      <c r="Q152" s="39"/>
      <c r="R152" s="40"/>
      <c r="S152" s="51" t="str">
        <f>IF(G152="","",
IF(OR(VLOOKUP(M152,'Vereine - Clubs'!E:H,4,0)="Nein",VLOOKUP(M152,'Vereine - Clubs'!E:H,4,0)="No",VLOOKUP(M152,'Vereine - Clubs'!E:H,4,0)="",VLOOKUP(M152,'Vereine - Clubs'!E:H,4,0)="nein",VLOOKUP(M152,'Vereine - Clubs'!E:H,4,0)="no",VLOOKUP(M152,'Vereine - Clubs'!E:H,4,0)=""),"","x"))</f>
        <v/>
      </c>
      <c r="T152" s="66" t="str">
        <f>IF(COUNTIF(T$81:T151,G152&amp;" "&amp;H152)=0,"",VLOOKUP(G152&amp;" "&amp;H152,$AA$5:$AC$80,3,FALSE))</f>
        <v/>
      </c>
      <c r="U152" s="53" t="str">
        <f t="shared" si="263"/>
        <v/>
      </c>
      <c r="V152" s="53" t="str">
        <f t="shared" si="269"/>
        <v/>
      </c>
      <c r="W152" s="52" t="str">
        <f>IF(COUNTIF(W$81:W151,G152&amp;" "&amp;H152)=0,"",VLOOKUP(G152&amp;" "&amp;H152,$AB$5:$AC$80,2,FALSE))</f>
        <v/>
      </c>
      <c r="X152" s="53" t="str">
        <f t="shared" si="271"/>
        <v/>
      </c>
      <c r="Y152" s="54" t="str">
        <f t="shared" si="270"/>
        <v/>
      </c>
      <c r="Z152" s="21" t="str">
        <f>IF(T152="","",IF(OR(T152="searching for partner",T152="Freimeldung",T152="x-partner"),"",IF(ISERROR(VLOOKUP(T152,$F$5:$AT$80,1,0)),IF(Englisch&lt;&gt;"","Please add double partner as participant.     ","Doppelpartner/in bitte noch als Teilnehmer eintragen.     "),IF(VLOOKUP(T152,$F$5:$R$80,4,0)=I152,"",IF(Englisch&lt;&gt;"","Wrong doubles partner     ","Falsche/r Doppelpartner/in     ")))))
&amp;IF(W152="","",IF(OR(W152="searching for partner",W152="Freimeldung",W152="x-partner"),"",IF(ISERROR(VLOOKUP(W152,$F$5:$AT$80,1,0)),IF(Englisch&lt;&gt;"","Please add mixed partner as participant     ","Mixedpartner/in bitte noch als Teilnehmer eintragen.     "),IF(VLOOKUP(W152,$F$5:$R$80,4,0)&lt;&gt;I152,"",IF(Englisch&lt;&gt;"","Wrong mixed partner.     ","Falsche/r Mixedpartner/in     ")))))
&amp;IF(AND(L152&lt;&gt;"",L152&lt;&gt;"A",L152&lt;&gt;"B",L152&lt;&gt;"C",L152&lt;&gt;"D"),IF(Englisch&lt;&gt;"","There is level A,B and C.   ","Dieses Jahr gibt es A-, B- und C-Klassen. Bitte korrigieren.   "),"")
&amp;
IF(AND(L152="B",OR(K152=911)),IF(Englisch&lt;&gt;"","There ist no level B in this age group. Please play in A.   ","In dieser Altersklasse keine B-Klasse. Bitte spiele in A.  "),"")&amp;
IF(AND(L152="A",OR(K152=915,K152=917,K152=919)),IF(Englisch&lt;&gt;"","There ist no level A in this age group. Please play in B.   ","In dieser Altersklasse keine A-Klasse. Bitte spiele in B.  "),"")
&amp;
IF(AND(M152&lt;&gt;"",COUNTIF('Vereine - Clubs'!$E$28:$E$47,M152)=0),IF(Englisch&lt;&gt;"","Please check club   ","Bitte den Verein überprüfen.   "),"")
&amp;
IF(AND(N152="",OR(AND(K152=11,L152="a"),AND(K152=13,L152="a"))),IFERROR(IF(VLOOKUP(M152,Vereine,4,0)="Nein","",IF(Englisch&lt;&gt;"","Please fill in turnier.de player ID   ","Bitte Spielernummer Turnier.de eintragen.   ")),""),"")
&amp;
IF(M152="","",IF(AND(VLOOKUP(M152,'Vereine - Clubs'!$E:$H,4,0)="Nein",'Teilnehmende - Starters'!S152="x"),IF(Englisch&lt;&gt;"","You can enter singles only if you pay for them.    ","EInzelteilnahme nur bei Übernahme der Bezahlung möglich.    "),""))
&amp;
IF(AND($L152="",$G152&lt;&gt;"",OR($N152&lt;&gt;"",$T152&lt;&gt;"",$W152&lt;&gt;"")),IF(Englisch&lt;&gt;"","Please add the level.     ","Bitte Spielklasse ergänzen.     "),"")</f>
        <v/>
      </c>
      <c r="AA152" s="4">
        <f t="shared" si="264"/>
        <v>0</v>
      </c>
      <c r="AB152" s="4">
        <f t="shared" si="265"/>
        <v>0</v>
      </c>
    </row>
    <row r="153" spans="1:28" ht="15" customHeight="1" x14ac:dyDescent="0.3">
      <c r="A153" s="91" t="str">
        <f t="shared" si="266"/>
        <v/>
      </c>
      <c r="B153" s="10" t="str">
        <f>IF(G153="","",MAX(B$1:B152)+1)</f>
        <v/>
      </c>
      <c r="C153" s="10" t="str">
        <f>IF(B153="","",SUMIF('Vereine - Clubs'!$E$28:$E$47,M153,'Vereine - Clubs'!$C$28:$C$47)*100+B153)</f>
        <v/>
      </c>
      <c r="D153" s="10" t="str">
        <f t="shared" si="262"/>
        <v/>
      </c>
      <c r="E153" s="10" t="str">
        <f>IF(OR($G153="",T153=""),"",IF(AND(SUMIF(T$81:T153,G153&amp;" "&amp;H153,C$81:C153)&lt;20000,OR(COUNTIF(T$81:T153,G153&amp;" "&amp;H153)&gt;0,C153&gt;20000)),"",C153))</f>
        <v/>
      </c>
      <c r="F153" s="10" t="str">
        <f>IF(OR($G153="",W153=""),"",IF(AND(SUMIF(W$81:W153,G153&amp;" "&amp;H153,C$81:C153)&lt;20000,OR(COUNTIF(W$81:W153,G153&amp;" "&amp;H153)&gt;0,C153&gt;20000)),"",C153))</f>
        <v/>
      </c>
      <c r="G153" s="66"/>
      <c r="H153" s="52"/>
      <c r="I153" s="8"/>
      <c r="J153" s="80"/>
      <c r="K153" s="53" t="str">
        <f t="shared" si="267"/>
        <v/>
      </c>
      <c r="L153" s="8"/>
      <c r="M153" s="67" t="str">
        <f>IF(G153="","",'Vereine - Clubs'!$E$28)</f>
        <v/>
      </c>
      <c r="N153" s="40"/>
      <c r="O153" s="43" t="str">
        <f t="shared" si="268"/>
        <v/>
      </c>
      <c r="P153" s="39"/>
      <c r="Q153" s="39"/>
      <c r="R153" s="40"/>
      <c r="S153" s="51" t="str">
        <f>IF(G153="","",
IF(OR(VLOOKUP(M153,'Vereine - Clubs'!E:H,4,0)="Nein",VLOOKUP(M153,'Vereine - Clubs'!E:H,4,0)="No",VLOOKUP(M153,'Vereine - Clubs'!E:H,4,0)="",VLOOKUP(M153,'Vereine - Clubs'!E:H,4,0)="nein",VLOOKUP(M153,'Vereine - Clubs'!E:H,4,0)="no",VLOOKUP(M153,'Vereine - Clubs'!E:H,4,0)=""),"","x"))</f>
        <v/>
      </c>
      <c r="T153" s="66" t="str">
        <f>IF(COUNTIF(T$81:T152,G153&amp;" "&amp;H153)=0,"",VLOOKUP(G153&amp;" "&amp;H153,$AA$5:$AC$80,3,FALSE))</f>
        <v/>
      </c>
      <c r="U153" s="53" t="str">
        <f t="shared" si="263"/>
        <v/>
      </c>
      <c r="V153" s="53" t="str">
        <f t="shared" si="269"/>
        <v/>
      </c>
      <c r="W153" s="52" t="str">
        <f>IF(COUNTIF(W$81:W152,G153&amp;" "&amp;H153)=0,"",VLOOKUP(G153&amp;" "&amp;H153,$AB$5:$AC$80,2,FALSE))</f>
        <v/>
      </c>
      <c r="X153" s="53" t="str">
        <f t="shared" si="271"/>
        <v/>
      </c>
      <c r="Y153" s="54" t="str">
        <f t="shared" si="270"/>
        <v/>
      </c>
      <c r="Z153" s="21" t="str">
        <f>IF(T153="","",IF(OR(T153="searching for partner",T153="Freimeldung",T153="x-partner"),"",IF(ISERROR(VLOOKUP(T153,$F$5:$AT$80,1,0)),IF(Englisch&lt;&gt;"","Please add double partner as participant.     ","Doppelpartner/in bitte noch als Teilnehmer eintragen.     "),IF(VLOOKUP(T153,$F$5:$R$80,4,0)=I153,"",IF(Englisch&lt;&gt;"","Wrong doubles partner     ","Falsche/r Doppelpartner/in     ")))))
&amp;IF(W153="","",IF(OR(W153="searching for partner",W153="Freimeldung",W153="x-partner"),"",IF(ISERROR(VLOOKUP(W153,$F$5:$AT$80,1,0)),IF(Englisch&lt;&gt;"","Please add mixed partner as participant     ","Mixedpartner/in bitte noch als Teilnehmer eintragen.     "),IF(VLOOKUP(W153,$F$5:$R$80,4,0)&lt;&gt;I153,"",IF(Englisch&lt;&gt;"","Wrong mixed partner.     ","Falsche/r Mixedpartner/in     ")))))
&amp;IF(AND(L153&lt;&gt;"",L153&lt;&gt;"A",L153&lt;&gt;"B",L153&lt;&gt;"C",L153&lt;&gt;"D"),IF(Englisch&lt;&gt;"","There is level A,B and C.   ","Dieses Jahr gibt es A-, B- und C-Klassen. Bitte korrigieren.   "),"")
&amp;
IF(AND(L153="B",OR(K153=911)),IF(Englisch&lt;&gt;"","There ist no level B in this age group. Please play in A.   ","In dieser Altersklasse keine B-Klasse. Bitte spiele in A.  "),"")&amp;
IF(AND(L153="A",OR(K153=915,K153=917,K153=919)),IF(Englisch&lt;&gt;"","There ist no level A in this age group. Please play in B.   ","In dieser Altersklasse keine A-Klasse. Bitte spiele in B.  "),"")
&amp;
IF(AND(M153&lt;&gt;"",COUNTIF('Vereine - Clubs'!$E$28:$E$47,M153)=0),IF(Englisch&lt;&gt;"","Please check club   ","Bitte den Verein überprüfen.   "),"")
&amp;
IF(AND(N153="",OR(AND(K153=11,L153="a"),AND(K153=13,L153="a"))),IFERROR(IF(VLOOKUP(M153,Vereine,4,0)="Nein","",IF(Englisch&lt;&gt;"","Please fill in turnier.de player ID   ","Bitte Spielernummer Turnier.de eintragen.   ")),""),"")
&amp;
IF(M153="","",IF(AND(VLOOKUP(M153,'Vereine - Clubs'!$E:$H,4,0)="Nein",'Teilnehmende - Starters'!S153="x"),IF(Englisch&lt;&gt;"","You can enter singles only if you pay for them.    ","EInzelteilnahme nur bei Übernahme der Bezahlung möglich.    "),""))
&amp;
IF(AND($L153="",$G153&lt;&gt;"",OR($N153&lt;&gt;"",$T153&lt;&gt;"",$W153&lt;&gt;"")),IF(Englisch&lt;&gt;"","Please add the level.     ","Bitte Spielklasse ergänzen.     "),"")</f>
        <v/>
      </c>
      <c r="AA153" s="4">
        <f t="shared" si="264"/>
        <v>0</v>
      </c>
      <c r="AB153" s="4">
        <f t="shared" si="265"/>
        <v>0</v>
      </c>
    </row>
    <row r="154" spans="1:28" ht="15" customHeight="1" x14ac:dyDescent="0.3">
      <c r="A154" s="91" t="str">
        <f t="shared" si="266"/>
        <v/>
      </c>
      <c r="B154" s="10" t="str">
        <f>IF(G154="","",MAX(B$1:B153)+1)</f>
        <v/>
      </c>
      <c r="C154" s="10" t="str">
        <f>IF(B154="","",SUMIF('Vereine - Clubs'!$E$28:$E$47,M154,'Vereine - Clubs'!$C$28:$C$47)*100+B154)</f>
        <v/>
      </c>
      <c r="D154" s="10" t="str">
        <f t="shared" si="262"/>
        <v/>
      </c>
      <c r="E154" s="10" t="str">
        <f>IF(OR($G154="",T154=""),"",IF(AND(SUMIF(T$81:T154,G154&amp;" "&amp;H154,C$81:C154)&lt;20000,OR(COUNTIF(T$81:T154,G154&amp;" "&amp;H154)&gt;0,C154&gt;20000)),"",C154))</f>
        <v/>
      </c>
      <c r="F154" s="10" t="str">
        <f>IF(OR($G154="",W154=""),"",IF(AND(SUMIF(W$81:W154,G154&amp;" "&amp;H154,C$81:C154)&lt;20000,OR(COUNTIF(W$81:W154,G154&amp;" "&amp;H154)&gt;0,C154&gt;20000)),"",C154))</f>
        <v/>
      </c>
      <c r="G154" s="66"/>
      <c r="H154" s="52"/>
      <c r="I154" s="8"/>
      <c r="J154" s="80"/>
      <c r="K154" s="53" t="str">
        <f t="shared" si="267"/>
        <v/>
      </c>
      <c r="L154" s="8"/>
      <c r="M154" s="67" t="str">
        <f>IF(G154="","",'Vereine - Clubs'!$E$28)</f>
        <v/>
      </c>
      <c r="N154" s="40"/>
      <c r="O154" s="43" t="str">
        <f t="shared" si="268"/>
        <v/>
      </c>
      <c r="P154" s="39"/>
      <c r="Q154" s="39"/>
      <c r="R154" s="40"/>
      <c r="S154" s="51" t="str">
        <f>IF(G154="","",
IF(OR(VLOOKUP(M154,'Vereine - Clubs'!E:H,4,0)="Nein",VLOOKUP(M154,'Vereine - Clubs'!E:H,4,0)="No",VLOOKUP(M154,'Vereine - Clubs'!E:H,4,0)="",VLOOKUP(M154,'Vereine - Clubs'!E:H,4,0)="nein",VLOOKUP(M154,'Vereine - Clubs'!E:H,4,0)="no",VLOOKUP(M154,'Vereine - Clubs'!E:H,4,0)=""),"","x"))</f>
        <v/>
      </c>
      <c r="T154" s="66" t="str">
        <f>IF(COUNTIF(T$81:T153,G154&amp;" "&amp;H154)=0,"",VLOOKUP(G154&amp;" "&amp;H154,$AA$5:$AC$80,3,FALSE))</f>
        <v/>
      </c>
      <c r="U154" s="53" t="str">
        <f t="shared" si="263"/>
        <v/>
      </c>
      <c r="V154" s="53" t="str">
        <f t="shared" si="269"/>
        <v/>
      </c>
      <c r="W154" s="52" t="str">
        <f>IF(COUNTIF(W$81:W153,G154&amp;" "&amp;H154)=0,"",VLOOKUP(G154&amp;" "&amp;H154,$AB$5:$AC$80,2,FALSE))</f>
        <v/>
      </c>
      <c r="X154" s="53" t="str">
        <f t="shared" si="271"/>
        <v/>
      </c>
      <c r="Y154" s="54" t="str">
        <f t="shared" si="270"/>
        <v/>
      </c>
      <c r="Z154" s="21" t="str">
        <f>IF(T154="","",IF(OR(T154="searching for partner",T154="Freimeldung",T154="x-partner"),"",IF(ISERROR(VLOOKUP(T154,$F$5:$AT$80,1,0)),IF(Englisch&lt;&gt;"","Please add double partner as participant.     ","Doppelpartner/in bitte noch als Teilnehmer eintragen.     "),IF(VLOOKUP(T154,$F$5:$R$80,4,0)=I154,"",IF(Englisch&lt;&gt;"","Wrong doubles partner     ","Falsche/r Doppelpartner/in     ")))))
&amp;IF(W154="","",IF(OR(W154="searching for partner",W154="Freimeldung",W154="x-partner"),"",IF(ISERROR(VLOOKUP(W154,$F$5:$AT$80,1,0)),IF(Englisch&lt;&gt;"","Please add mixed partner as participant     ","Mixedpartner/in bitte noch als Teilnehmer eintragen.     "),IF(VLOOKUP(W154,$F$5:$R$80,4,0)&lt;&gt;I154,"",IF(Englisch&lt;&gt;"","Wrong mixed partner.     ","Falsche/r Mixedpartner/in     ")))))
&amp;IF(AND(L154&lt;&gt;"",L154&lt;&gt;"A",L154&lt;&gt;"B",L154&lt;&gt;"C",L154&lt;&gt;"D"),IF(Englisch&lt;&gt;"","There is level A,B and C.   ","Dieses Jahr gibt es A-, B- und C-Klassen. Bitte korrigieren.   "),"")
&amp;
IF(AND(L154="B",OR(K154=911)),IF(Englisch&lt;&gt;"","There ist no level B in this age group. Please play in A.   ","In dieser Altersklasse keine B-Klasse. Bitte spiele in A.  "),"")&amp;
IF(AND(L154="A",OR(K154=915,K154=917,K154=919)),IF(Englisch&lt;&gt;"","There ist no level A in this age group. Please play in B.   ","In dieser Altersklasse keine A-Klasse. Bitte spiele in B.  "),"")
&amp;
IF(AND(M154&lt;&gt;"",COUNTIF('Vereine - Clubs'!$E$28:$E$47,M154)=0),IF(Englisch&lt;&gt;"","Please check club   ","Bitte den Verein überprüfen.   "),"")
&amp;
IF(AND(N154="",OR(AND(K154=11,L154="a"),AND(K154=13,L154="a"))),IFERROR(IF(VLOOKUP(M154,Vereine,4,0)="Nein","",IF(Englisch&lt;&gt;"","Please fill in turnier.de player ID   ","Bitte Spielernummer Turnier.de eintragen.   ")),""),"")
&amp;
IF(M154="","",IF(AND(VLOOKUP(M154,'Vereine - Clubs'!$E:$H,4,0)="Nein",'Teilnehmende - Starters'!S154="x"),IF(Englisch&lt;&gt;"","You can enter singles only if you pay for them.    ","EInzelteilnahme nur bei Übernahme der Bezahlung möglich.    "),""))
&amp;
IF(AND($L154="",$G154&lt;&gt;"",OR($N154&lt;&gt;"",$T154&lt;&gt;"",$W154&lt;&gt;"")),IF(Englisch&lt;&gt;"","Please add the level.     ","Bitte Spielklasse ergänzen.     "),"")</f>
        <v/>
      </c>
      <c r="AA154" s="4">
        <f t="shared" si="264"/>
        <v>0</v>
      </c>
      <c r="AB154" s="4">
        <f t="shared" si="265"/>
        <v>0</v>
      </c>
    </row>
    <row r="155" spans="1:28" ht="15" customHeight="1" x14ac:dyDescent="0.3">
      <c r="A155" s="91" t="str">
        <f t="shared" si="266"/>
        <v/>
      </c>
      <c r="B155" s="10" t="str">
        <f>IF(G155="","",MAX(B$1:B154)+1)</f>
        <v/>
      </c>
      <c r="C155" s="10" t="str">
        <f>IF(B155="","",SUMIF('Vereine - Clubs'!$E$28:$E$47,M155,'Vereine - Clubs'!$C$28:$C$47)*100+B155)</f>
        <v/>
      </c>
      <c r="D155" s="10" t="str">
        <f t="shared" si="262"/>
        <v/>
      </c>
      <c r="E155" s="10" t="str">
        <f>IF(OR($G155="",T155=""),"",IF(AND(SUMIF(T$81:T155,G155&amp;" "&amp;H155,C$81:C155)&lt;20000,OR(COUNTIF(T$81:T155,G155&amp;" "&amp;H155)&gt;0,C155&gt;20000)),"",C155))</f>
        <v/>
      </c>
      <c r="F155" s="10" t="str">
        <f>IF(OR($G155="",W155=""),"",IF(AND(SUMIF(W$81:W155,G155&amp;" "&amp;H155,C$81:C155)&lt;20000,OR(COUNTIF(W$81:W155,G155&amp;" "&amp;H155)&gt;0,C155&gt;20000)),"",C155))</f>
        <v/>
      </c>
      <c r="G155" s="66"/>
      <c r="H155" s="52"/>
      <c r="I155" s="8"/>
      <c r="J155" s="80"/>
      <c r="K155" s="53" t="str">
        <f t="shared" si="267"/>
        <v/>
      </c>
      <c r="L155" s="8"/>
      <c r="M155" s="67" t="str">
        <f>IF(G155="","",'Vereine - Clubs'!$E$28)</f>
        <v/>
      </c>
      <c r="N155" s="40"/>
      <c r="O155" s="43" t="str">
        <f t="shared" si="268"/>
        <v/>
      </c>
      <c r="P155" s="39"/>
      <c r="Q155" s="39"/>
      <c r="R155" s="40"/>
      <c r="S155" s="51" t="str">
        <f>IF(G155="","",
IF(OR(VLOOKUP(M155,'Vereine - Clubs'!E:H,4,0)="Nein",VLOOKUP(M155,'Vereine - Clubs'!E:H,4,0)="No",VLOOKUP(M155,'Vereine - Clubs'!E:H,4,0)="",VLOOKUP(M155,'Vereine - Clubs'!E:H,4,0)="nein",VLOOKUP(M155,'Vereine - Clubs'!E:H,4,0)="no",VLOOKUP(M155,'Vereine - Clubs'!E:H,4,0)=""),"","x"))</f>
        <v/>
      </c>
      <c r="T155" s="66" t="str">
        <f>IF(COUNTIF(T$81:T154,G155&amp;" "&amp;H155)=0,"",VLOOKUP(G155&amp;" "&amp;H155,$AA$5:$AC$80,3,FALSE))</f>
        <v/>
      </c>
      <c r="U155" s="53" t="str">
        <f t="shared" si="263"/>
        <v/>
      </c>
      <c r="V155" s="53" t="str">
        <f t="shared" si="269"/>
        <v/>
      </c>
      <c r="W155" s="52" t="str">
        <f>IF(COUNTIF(W$81:W154,G155&amp;" "&amp;H155)=0,"",VLOOKUP(G155&amp;" "&amp;H155,$AB$5:$AC$80,2,FALSE))</f>
        <v/>
      </c>
      <c r="X155" s="53" t="str">
        <f t="shared" si="271"/>
        <v/>
      </c>
      <c r="Y155" s="54" t="str">
        <f t="shared" si="270"/>
        <v/>
      </c>
      <c r="Z155" s="21" t="str">
        <f>IF(T155="","",IF(OR(T155="searching for partner",T155="Freimeldung",T155="x-partner"),"",IF(ISERROR(VLOOKUP(T155,$F$5:$AT$80,1,0)),IF(Englisch&lt;&gt;"","Please add double partner as participant.     ","Doppelpartner/in bitte noch als Teilnehmer eintragen.     "),IF(VLOOKUP(T155,$F$5:$R$80,4,0)=I155,"",IF(Englisch&lt;&gt;"","Wrong doubles partner     ","Falsche/r Doppelpartner/in     ")))))
&amp;IF(W155="","",IF(OR(W155="searching for partner",W155="Freimeldung",W155="x-partner"),"",IF(ISERROR(VLOOKUP(W155,$F$5:$AT$80,1,0)),IF(Englisch&lt;&gt;"","Please add mixed partner as participant     ","Mixedpartner/in bitte noch als Teilnehmer eintragen.     "),IF(VLOOKUP(W155,$F$5:$R$80,4,0)&lt;&gt;I155,"",IF(Englisch&lt;&gt;"","Wrong mixed partner.     ","Falsche/r Mixedpartner/in     ")))))
&amp;IF(AND(L155&lt;&gt;"",L155&lt;&gt;"A",L155&lt;&gt;"B",L155&lt;&gt;"C",L155&lt;&gt;"D"),IF(Englisch&lt;&gt;"","There is level A,B and C.   ","Dieses Jahr gibt es A-, B- und C-Klassen. Bitte korrigieren.   "),"")
&amp;
IF(AND(L155="B",OR(K155=911)),IF(Englisch&lt;&gt;"","There ist no level B in this age group. Please play in A.   ","In dieser Altersklasse keine B-Klasse. Bitte spiele in A.  "),"")&amp;
IF(AND(L155="A",OR(K155=915,K155=917,K155=919)),IF(Englisch&lt;&gt;"","There ist no level A in this age group. Please play in B.   ","In dieser Altersklasse keine A-Klasse. Bitte spiele in B.  "),"")
&amp;
IF(AND(M155&lt;&gt;"",COUNTIF('Vereine - Clubs'!$E$28:$E$47,M155)=0),IF(Englisch&lt;&gt;"","Please check club   ","Bitte den Verein überprüfen.   "),"")
&amp;
IF(AND(N155="",OR(AND(K155=11,L155="a"),AND(K155=13,L155="a"))),IFERROR(IF(VLOOKUP(M155,Vereine,4,0)="Nein","",IF(Englisch&lt;&gt;"","Please fill in turnier.de player ID   ","Bitte Spielernummer Turnier.de eintragen.   ")),""),"")
&amp;
IF(M155="","",IF(AND(VLOOKUP(M155,'Vereine - Clubs'!$E:$H,4,0)="Nein",'Teilnehmende - Starters'!S155="x"),IF(Englisch&lt;&gt;"","You can enter singles only if you pay for them.    ","EInzelteilnahme nur bei Übernahme der Bezahlung möglich.    "),""))
&amp;
IF(AND($L155="",$G155&lt;&gt;"",OR($N155&lt;&gt;"",$T155&lt;&gt;"",$W155&lt;&gt;"")),IF(Englisch&lt;&gt;"","Please add the level.     ","Bitte Spielklasse ergänzen.     "),"")</f>
        <v/>
      </c>
      <c r="AA155" s="4">
        <f t="shared" si="264"/>
        <v>0</v>
      </c>
      <c r="AB155" s="4">
        <f t="shared" si="265"/>
        <v>0</v>
      </c>
    </row>
    <row r="156" spans="1:28" ht="15" customHeight="1" x14ac:dyDescent="0.3">
      <c r="A156" s="91" t="str">
        <f t="shared" si="266"/>
        <v/>
      </c>
      <c r="B156" s="10" t="str">
        <f>IF(G156="","",MAX(B$1:B155)+1)</f>
        <v/>
      </c>
      <c r="C156" s="10" t="str">
        <f>IF(B156="","",SUMIF('Vereine - Clubs'!$E$28:$E$47,M156,'Vereine - Clubs'!$C$28:$C$47)*100+B156)</f>
        <v/>
      </c>
      <c r="D156" s="10" t="str">
        <f t="shared" si="262"/>
        <v/>
      </c>
      <c r="E156" s="10" t="str">
        <f>IF(OR($G156="",T156=""),"",IF(AND(SUMIF(T$81:T156,G156&amp;" "&amp;H156,C$81:C156)&lt;20000,OR(COUNTIF(T$81:T156,G156&amp;" "&amp;H156)&gt;0,C156&gt;20000)),"",C156))</f>
        <v/>
      </c>
      <c r="F156" s="10" t="str">
        <f>IF(OR($G156="",W156=""),"",IF(AND(SUMIF(W$81:W156,G156&amp;" "&amp;H156,C$81:C156)&lt;20000,OR(COUNTIF(W$81:W156,G156&amp;" "&amp;H156)&gt;0,C156&gt;20000)),"",C156))</f>
        <v/>
      </c>
      <c r="G156" s="44"/>
      <c r="H156" s="45"/>
      <c r="I156" s="46"/>
      <c r="J156" s="81"/>
      <c r="K156" s="92" t="str">
        <f t="shared" si="267"/>
        <v/>
      </c>
      <c r="L156" s="46"/>
      <c r="M156" s="48" t="str">
        <f>IF(G156="","",'Vereine - Clubs'!$E$28)</f>
        <v/>
      </c>
      <c r="N156" s="42"/>
      <c r="O156" s="93" t="str">
        <f t="shared" si="268"/>
        <v/>
      </c>
      <c r="P156" s="41"/>
      <c r="Q156" s="41"/>
      <c r="R156" s="42"/>
      <c r="S156" s="51" t="str">
        <f>IF(G156="","",
IF(OR(VLOOKUP(M156,'Vereine - Clubs'!E:H,4,0)="Nein",VLOOKUP(M156,'Vereine - Clubs'!E:H,4,0)="No",VLOOKUP(M156,'Vereine - Clubs'!E:H,4,0)="",VLOOKUP(M156,'Vereine - Clubs'!E:H,4,0)="nein",VLOOKUP(M156,'Vereine - Clubs'!E:H,4,0)="no",VLOOKUP(M156,'Vereine - Clubs'!E:H,4,0)=""),"","x"))</f>
        <v/>
      </c>
      <c r="T156" s="44" t="str">
        <f>IF(COUNTIF(T$81:T155,G156&amp;" "&amp;H156)=0,"",VLOOKUP(G156&amp;" "&amp;H156,$AA$5:$AC$80,3,FALSE))</f>
        <v/>
      </c>
      <c r="U156" s="47" t="str">
        <f t="shared" si="263"/>
        <v/>
      </c>
      <c r="V156" s="47" t="str">
        <f t="shared" si="269"/>
        <v/>
      </c>
      <c r="W156" s="45" t="str">
        <f>IF(COUNTIF(W$81:W155,G156&amp;" "&amp;H156)=0,"",VLOOKUP(G156&amp;" "&amp;H156,$AB$5:$AC$80,2,FALSE))</f>
        <v/>
      </c>
      <c r="X156" s="47" t="str">
        <f t="shared" si="271"/>
        <v/>
      </c>
      <c r="Y156" s="55" t="str">
        <f t="shared" si="270"/>
        <v/>
      </c>
      <c r="Z156" s="21" t="str">
        <f>IF(T156="","",IF(OR(T156="searching for partner",T156="Freimeldung",T156="x-partner"),"",IF(ISERROR(VLOOKUP(T156,$F$5:$AT$80,1,0)),IF(Englisch&lt;&gt;"","Please add double partner as participant.     ","Doppelpartner/in bitte noch als Teilnehmer eintragen.     "),IF(VLOOKUP(T156,$F$5:$R$80,4,0)=I156,"",IF(Englisch&lt;&gt;"","Wrong doubles partner     ","Falsche/r Doppelpartner/in     ")))))
&amp;IF(W156="","",IF(OR(W156="searching for partner",W156="Freimeldung",W156="x-partner"),"",IF(ISERROR(VLOOKUP(W156,$F$5:$AT$80,1,0)),IF(Englisch&lt;&gt;"","Please add mixed partner as participant     ","Mixedpartner/in bitte noch als Teilnehmer eintragen.     "),IF(VLOOKUP(W156,$F$5:$R$80,4,0)&lt;&gt;I156,"",IF(Englisch&lt;&gt;"","Wrong mixed partner.     ","Falsche/r Mixedpartner/in     ")))))
&amp;IF(AND(L156&lt;&gt;"",L156&lt;&gt;"A",L156&lt;&gt;"B",L156&lt;&gt;"C",L156&lt;&gt;"D"),IF(Englisch&lt;&gt;"","There is level A,B and C.   ","Dieses Jahr gibt es A-, B- und C-Klassen. Bitte korrigieren.   "),"")
&amp;
IF(AND(L156="B",OR(K156=911)),IF(Englisch&lt;&gt;"","There ist no level B in this age group. Please play in A.   ","In dieser Altersklasse keine B-Klasse. Bitte spiele in A.  "),"")&amp;
IF(AND(L156="A",OR(K156=915,K156=917,K156=919)),IF(Englisch&lt;&gt;"","There ist no level A in this age group. Please play in B.   ","In dieser Altersklasse keine A-Klasse. Bitte spiele in B.  "),"")
&amp;
IF(AND(M156&lt;&gt;"",COUNTIF('Vereine - Clubs'!$E$28:$E$47,M156)=0),IF(Englisch&lt;&gt;"","Please check club   ","Bitte den Verein überprüfen.   "),"")
&amp;
IF(AND(N156="",OR(AND(K156=11,L156="a"),AND(K156=13,L156="a"))),IFERROR(IF(VLOOKUP(M156,Vereine,4,0)="Nein","",IF(Englisch&lt;&gt;"","Please fill in turnier.de player ID   ","Bitte Spielernummer Turnier.de eintragen.   ")),""),"")
&amp;
IF(M156="","",IF(AND(VLOOKUP(M156,'Vereine - Clubs'!$E:$H,4,0)="Nein",'Teilnehmende - Starters'!S156="x"),IF(Englisch&lt;&gt;"","You can enter singles only if you pay for them.    ","EInzelteilnahme nur bei Übernahme der Bezahlung möglich.    "),""))
&amp;
IF(AND($L156="",$G156&lt;&gt;"",OR($N156&lt;&gt;"",$T156&lt;&gt;"",$W156&lt;&gt;"")),IF(Englisch&lt;&gt;"","Please add the level.     ","Bitte Spielklasse ergänzen.     "),"")</f>
        <v/>
      </c>
      <c r="AA156" s="4">
        <f t="shared" si="264"/>
        <v>0</v>
      </c>
      <c r="AB156" s="4">
        <f t="shared" si="265"/>
        <v>0</v>
      </c>
    </row>
  </sheetData>
  <sheetProtection algorithmName="SHA-512" hashValue="uEUKk87av0BV75ET/ZwLjItPPGXQnXMc0u7YCdlkA/QIyuV5V8YFdpH8ufukcPRyRQilxXJG69ZwoUeATY/+QQ==" saltValue="stU+eUgVH4y/mCVm8cznWA==" spinCount="100000" sheet="1" objects="1" scenarios="1"/>
  <mergeCells count="15">
    <mergeCell ref="G2:Z2"/>
    <mergeCell ref="T3:T4"/>
    <mergeCell ref="W3:W4"/>
    <mergeCell ref="Z3:Z4"/>
    <mergeCell ref="B3:F3"/>
    <mergeCell ref="X3:Y4"/>
    <mergeCell ref="U3:V4"/>
    <mergeCell ref="G3:G4"/>
    <mergeCell ref="H3:H4"/>
    <mergeCell ref="J3:J4"/>
    <mergeCell ref="I3:I4"/>
    <mergeCell ref="L3:L4"/>
    <mergeCell ref="N3:N4"/>
    <mergeCell ref="O3:R3"/>
    <mergeCell ref="S3:S4"/>
  </mergeCells>
  <conditionalFormatting sqref="G1:Z1 G3:Z4">
    <cfRule type="expression" dxfId="19" priority="3">
      <formula>OR(LEFT($G$2,7)="Bitte b",LEFT($G$2,7)="Please ")</formula>
    </cfRule>
  </conditionalFormatting>
  <conditionalFormatting sqref="G81:Z81 G82:R135 K81:K156 O81:O156 Z81:Z156 T82:Z135">
    <cfRule type="expression" dxfId="18" priority="10">
      <formula>AND($G81&lt;&gt;"",MOD(COUNT($K$81:$K81),5)=0)</formula>
    </cfRule>
  </conditionalFormatting>
  <conditionalFormatting sqref="J81:J156">
    <cfRule type="expression" dxfId="17" priority="13">
      <formula>$K81="---"</formula>
    </cfRule>
  </conditionalFormatting>
  <conditionalFormatting sqref="L81:L156">
    <cfRule type="expression" dxfId="16" priority="2">
      <formula>AND($L81="",$G81&lt;&gt;"",OR($N81&lt;&gt;"",$T81&lt;&gt;"",$W81&lt;&gt;""))</formula>
    </cfRule>
    <cfRule type="expression" dxfId="15" priority="30">
      <formula>OR(AND(L81&lt;&gt;"",L81&lt;&gt;"A",L81&lt;&gt;"B",L81&lt;&gt;"C",L81&lt;&gt;"D"), AND(L81="A",OR(K81=11,K81=13)), AND(L81="D",OR(K81=11,K81=19)))</formula>
    </cfRule>
  </conditionalFormatting>
  <conditionalFormatting sqref="N81:N156">
    <cfRule type="expression" dxfId="14" priority="7">
      <formula>OR(AND(N81="",K81=11,L81="a",VLOOKUP(M81,Vereine,4,0)&lt;&gt;"Nein"),AND(N81="",K81=13,L81="m",VLOOKUP(M81,Vereine,4,0)&lt;&gt;"Nein"))</formula>
    </cfRule>
  </conditionalFormatting>
  <conditionalFormatting sqref="S82:S156">
    <cfRule type="expression" dxfId="13" priority="1">
      <formula>AND($G82&lt;&gt;"",MOD(COUNT($K$81:$K82),5)=0)</formula>
    </cfRule>
  </conditionalFormatting>
  <conditionalFormatting sqref="T81:T156">
    <cfRule type="expression" dxfId="12" priority="22">
      <formula>COUNTIF(T$81:T81,G81&amp;" "&amp;H81)&gt;0</formula>
    </cfRule>
    <cfRule type="expression" dxfId="11" priority="23">
      <formula>AND(T81&lt;&gt;"",T81&lt;&gt;"Freimeldung",T81&lt;&gt;"searching for partner",ISERROR(VLOOKUP(T81,$F$5:$AT$80,1,0)))</formula>
    </cfRule>
    <cfRule type="expression" dxfId="10" priority="24">
      <formula>VLOOKUP(T81,$F$5:$R$80,4,0)&lt;&gt;I81</formula>
    </cfRule>
  </conditionalFormatting>
  <conditionalFormatting sqref="U82:V156">
    <cfRule type="expression" dxfId="9" priority="16">
      <formula>VLOOKUP(U82,$F$5:$R$80,4,0)&lt;&gt;I82</formula>
    </cfRule>
  </conditionalFormatting>
  <conditionalFormatting sqref="V81:V88 U81:U156 X81:Y156">
    <cfRule type="expression" dxfId="8" priority="18">
      <formula>VLOOKUP(U81,$F$5:$R$80,4,0)&lt;&gt;I81</formula>
    </cfRule>
  </conditionalFormatting>
  <conditionalFormatting sqref="W81:W156">
    <cfRule type="expression" dxfId="7" priority="25">
      <formula>COUNTIF(W$81:W81,G81&amp;" "&amp;H81)&gt;0</formula>
    </cfRule>
    <cfRule type="expression" dxfId="6" priority="26">
      <formula>AND(W81&lt;&gt;"",W81&lt;&gt;"Freimeldung",W81&lt;&gt;"searching for partner",ISERROR(VLOOKUP(W81,$F$5:$AT$80,1,0)))</formula>
    </cfRule>
    <cfRule type="expression" dxfId="5" priority="27">
      <formula>VLOOKUP(W81,$F$5:$R$80,4,0)=I81</formula>
    </cfRule>
  </conditionalFormatting>
  <dataValidations disablePrompts="1" count="8">
    <dataValidation allowBlank="1" showInputMessage="1" showErrorMessage="1" errorTitle="Partner" error="Bitte den Partner erst links eintragen und dann hier ergänzen." sqref="X82:Y156 W81:Y81 T81:V156" xr:uid="{09E65C0B-BE58-434F-926C-6BA00735AB8A}"/>
    <dataValidation allowBlank="1" showInputMessage="1" errorTitle="Partner" error="Bitte den Partner erst links eintragen und dann hier ergänzen." sqref="W82:W156" xr:uid="{BD9B47DB-F6BB-4B89-8FCA-A48C511D085F}"/>
    <dataValidation type="list" allowBlank="1" showInputMessage="1" showErrorMessage="1" errorTitle="Verein" error="Bitte den Verein erst auf Tabelle Verein eintragen." sqref="M81:M156" xr:uid="{3CCD9116-87C3-403A-8355-2D08C9D55EF3}">
      <formula1>$M$61:$M$80</formula1>
    </dataValidation>
    <dataValidation type="date" allowBlank="1" showInputMessage="1" showErrorMessage="1" errorTitle="Falsches Datum / Wrong Date" error="Bitte überprüfe das Datum._x000a_Please check." sqref="J81:J156" xr:uid="{57C147E5-00C8-48BA-86AB-AD1ECB97C02B}">
      <formula1>37987</formula1>
      <formula2>44561</formula2>
    </dataValidation>
    <dataValidation type="list" allowBlank="1" showInputMessage="1" showErrorMessage="1" sqref="L82:L156" xr:uid="{D92DF4C8-B867-442B-9BA8-5812B22AEBBA}">
      <formula1>$AD$81:$AD$85</formula1>
    </dataValidation>
    <dataValidation type="list" allowBlank="1" showInputMessage="1" showErrorMessage="1" errorTitle="Bitte prüfen / Please check" error="Wir bieten A bis D an. B und D nur in U13 bis U17._x000a_We offer A to D. B and D only in U13 to U17." sqref="L81" xr:uid="{D52C93DD-60CD-4996-9E37-E099BF75AD40}">
      <formula1>$AD$81:$AD$85</formula1>
    </dataValidation>
    <dataValidation type="list" allowBlank="1" showInputMessage="1" showErrorMessage="1" errorTitle="Bitte prüfen / Please check" error="m = männlich / male_x000a_w = weiblich / female" sqref="I81:I156" xr:uid="{E7CFD12B-DC75-41D1-B302-A8FFFB8AB1CB}">
      <formula1>$AE$81:$AE$83</formula1>
    </dataValidation>
    <dataValidation type="list" showInputMessage="1" showErrorMessage="1" sqref="S81:S156" xr:uid="{92AAF0FC-D1A0-404D-9F91-76C266B453C5}">
      <formula1>$AC$81:$AC$82</formula1>
    </dataValidation>
  </dataValidation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8CCD0-87B9-4E88-87B6-23A9AD15B138}">
  <sheetPr codeName="Tabelle4">
    <pageSetUpPr fitToPage="1"/>
  </sheetPr>
  <dimension ref="E1:K87"/>
  <sheetViews>
    <sheetView showGridLines="0" showRowColHeaders="0" workbookViewId="0">
      <selection activeCell="E6" sqref="E6"/>
    </sheetView>
  </sheetViews>
  <sheetFormatPr baseColWidth="10" defaultRowHeight="14.4" x14ac:dyDescent="0.3"/>
  <cols>
    <col min="1" max="1" width="0.88671875" customWidth="1"/>
    <col min="2" max="4" width="0" hidden="1" customWidth="1"/>
    <col min="5" max="5" width="3.6640625" customWidth="1"/>
    <col min="6" max="6" width="30.6640625" customWidth="1"/>
    <col min="7" max="7" width="5.6640625" customWidth="1"/>
    <col min="8" max="8" width="30.6640625" customWidth="1"/>
    <col min="10" max="10" width="2.6640625" customWidth="1"/>
    <col min="11" max="11" width="12.88671875" bestFit="1" customWidth="1"/>
  </cols>
  <sheetData>
    <row r="1" spans="5:11" ht="18" x14ac:dyDescent="0.35">
      <c r="E1" s="28" t="str">
        <f>IF(Englisch&lt;&gt;"","Around the tournament","Drum herum")</f>
        <v>Drum herum</v>
      </c>
      <c r="F1" s="12"/>
      <c r="G1" s="12"/>
      <c r="H1" s="12"/>
      <c r="I1" s="12"/>
      <c r="J1" s="12"/>
      <c r="K1" s="12"/>
    </row>
    <row r="2" spans="5:11" ht="18" x14ac:dyDescent="0.35">
      <c r="E2" s="82"/>
    </row>
    <row r="3" spans="5:11" x14ac:dyDescent="0.3">
      <c r="E3" s="122" t="str">
        <f>IF(Englisch&lt;&gt;"","Accomodations","Übernachtungen")</f>
        <v>Übernachtungen</v>
      </c>
      <c r="F3" s="123"/>
      <c r="G3" s="123"/>
      <c r="H3" s="123"/>
      <c r="I3" s="124"/>
      <c r="K3" s="35" t="str">
        <f>IF(Englisch&lt;&gt;"","Fees","Kosten")</f>
        <v>Kosten</v>
      </c>
    </row>
    <row r="4" spans="5:11" ht="8.1" customHeight="1" x14ac:dyDescent="0.3">
      <c r="K4" s="34"/>
    </row>
    <row r="5" spans="5:11" ht="20.100000000000001" customHeight="1" x14ac:dyDescent="0.3">
      <c r="E5" s="83" t="str">
        <f>IF(Englisch&lt;&gt;"","How many people are staying in","Anzahl der Übernachtenden:")</f>
        <v>Anzahl der Übernachtenden:</v>
      </c>
      <c r="K5" s="34"/>
    </row>
    <row r="6" spans="5:11" x14ac:dyDescent="0.3">
      <c r="E6" s="56"/>
      <c r="F6" t="str">
        <f>IF(Englisch&lt;&gt;""," class room from Friday to Saturday"," Freitag auf Sonnabend im Klassenraum")</f>
        <v xml:space="preserve"> Freitag auf Sonnabend im Klassenraum</v>
      </c>
      <c r="I6" s="36" t="s">
        <v>137</v>
      </c>
      <c r="K6" s="34">
        <f>E6*5</f>
        <v>0</v>
      </c>
    </row>
    <row r="7" spans="5:11" x14ac:dyDescent="0.3">
      <c r="E7" s="56"/>
      <c r="F7" t="str">
        <f>IF(Englisch&lt;&gt;""," class room from Saturday to Sunday"," Sonnabend auf Sonntag im Klassenraum")</f>
        <v xml:space="preserve"> Sonnabend auf Sonntag im Klassenraum</v>
      </c>
      <c r="I7" s="36" t="s">
        <v>137</v>
      </c>
      <c r="K7" s="34">
        <f>E7*5</f>
        <v>0</v>
      </c>
    </row>
    <row r="8" spans="5:11" x14ac:dyDescent="0.3">
      <c r="E8" s="56"/>
      <c r="F8" t="str">
        <f>IF(Englisch&lt;&gt;""," gym from Friday to Saturday"," Freitag auf Sonnabend in einer Sporthalle")</f>
        <v xml:space="preserve"> Freitag auf Sonnabend in einer Sporthalle</v>
      </c>
      <c r="I8" s="36" t="s">
        <v>136</v>
      </c>
      <c r="K8" s="34">
        <f>E8*3</f>
        <v>0</v>
      </c>
    </row>
    <row r="9" spans="5:11" x14ac:dyDescent="0.3">
      <c r="E9" s="56"/>
      <c r="F9" t="str">
        <f>IF(Englisch&lt;&gt;""," gym from Saturday to Sunday"," Sonnabend auf Sonntag in einer Sporthalle")</f>
        <v xml:space="preserve"> Sonnabend auf Sonntag in einer Sporthalle</v>
      </c>
      <c r="I9" s="36" t="s">
        <v>136</v>
      </c>
      <c r="K9" s="34">
        <f>E9*3</f>
        <v>0</v>
      </c>
    </row>
    <row r="10" spans="5:11" ht="8.1" customHeight="1" x14ac:dyDescent="0.3">
      <c r="K10" s="34"/>
    </row>
    <row r="11" spans="5:11" x14ac:dyDescent="0.3">
      <c r="E11" t="str">
        <f>IF(Englisch&lt;&gt;"","Names of adults","Namen der Betreuer")</f>
        <v>Namen der Betreuer</v>
      </c>
      <c r="H11" t="str">
        <f>IF(Englisch&lt;&gt;"","Their mobil numbers","Mobiltelefon")</f>
        <v>Mobiltelefon</v>
      </c>
      <c r="K11" s="34"/>
    </row>
    <row r="12" spans="5:11" x14ac:dyDescent="0.3">
      <c r="E12" s="126"/>
      <c r="F12" s="127"/>
      <c r="G12" s="128"/>
      <c r="H12" s="79"/>
      <c r="I12" s="129" t="str">
        <f>IF(Englisch&lt;&gt;"","We offer accomodation in a gym, 
if you are at least 
20 people.","Wir bieten Euch 
die Übernachtung 
in Sporthallen
ab 20 Personen an.")</f>
        <v>Wir bieten Euch 
die Übernachtung 
in Sporthallen
ab 20 Personen an.</v>
      </c>
      <c r="J12" s="130"/>
      <c r="K12" s="130"/>
    </row>
    <row r="13" spans="5:11" x14ac:dyDescent="0.3">
      <c r="E13" s="126"/>
      <c r="F13" s="127"/>
      <c r="G13" s="128"/>
      <c r="H13" s="79"/>
      <c r="I13" s="129"/>
      <c r="J13" s="130"/>
      <c r="K13" s="130"/>
    </row>
    <row r="14" spans="5:11" x14ac:dyDescent="0.3">
      <c r="E14" s="126"/>
      <c r="F14" s="127"/>
      <c r="G14" s="128"/>
      <c r="H14" s="79"/>
      <c r="I14" s="129"/>
      <c r="J14" s="130"/>
      <c r="K14" s="130"/>
    </row>
    <row r="15" spans="5:11" x14ac:dyDescent="0.3">
      <c r="E15" s="126"/>
      <c r="F15" s="127"/>
      <c r="G15" s="128"/>
      <c r="H15" s="79"/>
      <c r="I15" s="129"/>
      <c r="J15" s="130"/>
      <c r="K15" s="130"/>
    </row>
    <row r="16" spans="5:11" ht="8.1" customHeight="1" x14ac:dyDescent="0.3">
      <c r="K16" s="34"/>
    </row>
    <row r="17" spans="5:11" x14ac:dyDescent="0.3">
      <c r="E17" t="str">
        <f>IF(Englisch&lt;&gt;"","Special requests regarding overnight stay","Sonderwünsche zur Übernachtung")</f>
        <v>Sonderwünsche zur Übernachtung</v>
      </c>
      <c r="K17" s="34"/>
    </row>
    <row r="18" spans="5:11" ht="45" customHeight="1" x14ac:dyDescent="0.3">
      <c r="E18" s="132"/>
      <c r="F18" s="132"/>
      <c r="G18" s="132"/>
      <c r="H18" s="132"/>
      <c r="K18" s="34"/>
    </row>
    <row r="19" spans="5:11" x14ac:dyDescent="0.3">
      <c r="K19" s="34"/>
    </row>
    <row r="20" spans="5:11" x14ac:dyDescent="0.3">
      <c r="K20" s="34"/>
    </row>
    <row r="21" spans="5:11" hidden="1" x14ac:dyDescent="0.3">
      <c r="E21" s="122" t="str">
        <f>IF(Englisch&lt;&gt;"","Food","Verpflegung")</f>
        <v>Verpflegung</v>
      </c>
      <c r="F21" s="123"/>
      <c r="G21" s="123"/>
      <c r="H21" s="123"/>
      <c r="I21" s="124"/>
      <c r="K21" s="34"/>
    </row>
    <row r="22" spans="5:11" ht="8.1" hidden="1" customHeight="1" x14ac:dyDescent="0.3">
      <c r="K22" s="34"/>
    </row>
    <row r="23" spans="5:11" hidden="1" x14ac:dyDescent="0.3">
      <c r="E23" t="str">
        <f>IF(Englisch&lt;&gt;"","Number of breakfast Saturday:","Anzahl der Frühstücke Sonnabend:")</f>
        <v>Anzahl der Frühstücke Sonnabend:</v>
      </c>
      <c r="G23" s="33"/>
      <c r="I23" s="36" t="s">
        <v>54</v>
      </c>
      <c r="K23" s="34"/>
    </row>
    <row r="24" spans="5:11" hidden="1" x14ac:dyDescent="0.3">
      <c r="E24" t="str">
        <f>IF(Englisch&lt;&gt;"","Number of breakfast Sunday:","Anzahl der Frühstücke Sonntag:")</f>
        <v>Anzahl der Frühstücke Sonntag:</v>
      </c>
      <c r="G24" s="33"/>
      <c r="I24" s="36" t="s">
        <v>54</v>
      </c>
      <c r="K24" s="34">
        <f>(G23+G24)*4</f>
        <v>0</v>
      </c>
    </row>
    <row r="25" spans="5:11" hidden="1" x14ac:dyDescent="0.3">
      <c r="G25" s="9"/>
      <c r="K25" s="34"/>
    </row>
    <row r="26" spans="5:11" hidden="1" x14ac:dyDescent="0.3">
      <c r="K26" s="34"/>
    </row>
    <row r="27" spans="5:11" x14ac:dyDescent="0.3">
      <c r="E27" s="122" t="str">
        <f>IF(Englisch&lt;&gt;"","Preorder Shuttles","Vorbestellung Federbälle")</f>
        <v>Vorbestellung Federbälle</v>
      </c>
      <c r="F27" s="123"/>
      <c r="G27" s="123"/>
      <c r="H27" s="123"/>
      <c r="I27" s="124"/>
      <c r="K27" s="34"/>
    </row>
    <row r="28" spans="5:11" ht="8.1" customHeight="1" x14ac:dyDescent="0.3">
      <c r="K28" s="34"/>
    </row>
    <row r="29" spans="5:11" ht="90" customHeight="1" x14ac:dyDescent="0.3">
      <c r="E29" s="125" t="str">
        <f>IF(Englisch&lt;&gt;"","Our partner NordSport offers you the official Flora Cup shuttles by VICTOR for a special price, when you order at least three doz. The shuttles will be handed out on the first day of the tournament from 15:00 on in the KGSE. "&amp;"Please pay cash or card."&amp;"
During the tournament you can purchase shuttles at NordSport in the KGSE or at any tournament desk. Then you pay the standard price.",
"Unser Partner NordSport bietet euch die offiziellen Flora Cup Federbälle von VICTOR bei einer Mindestabnahme von drei Rollen zum Sonderpreis an. Die Bälle stehen am ersten Turniertag ab 15:00 Uhr zur Abholung in der KGSE bereit. "&amp;"Die Bezahlung erfolgt bar oder mit Karte."&amp;"
Während des Turnier könnt Ihr Bälle am Stand von NordSport in der KGSE und bei den Turnierleitungen in den anderen Hallen kaufen. Dann gelten die Standardpreise.")</f>
        <v>Unser Partner NordSport bietet euch die offiziellen Flora Cup Federbälle von VICTOR bei einer Mindestabnahme von drei Rollen zum Sonderpreis an. Die Bälle stehen am ersten Turniertag ab 15:00 Uhr zur Abholung in der KGSE bereit. Die Bezahlung erfolgt bar oder mit Karte.
Während des Turnier könnt Ihr Bälle am Stand von NordSport in der KGSE und bei den Turnierleitungen in den anderen Hallen kaufen. Dann gelten die Standardpreise.</v>
      </c>
      <c r="F29" s="125"/>
      <c r="G29" s="125"/>
      <c r="H29" s="125"/>
      <c r="I29" s="125"/>
      <c r="K29" s="34"/>
    </row>
    <row r="30" spans="5:11" ht="8.1" customHeight="1" x14ac:dyDescent="0.3">
      <c r="K30" s="34"/>
    </row>
    <row r="31" spans="5:11" x14ac:dyDescent="0.3">
      <c r="E31" t="str">
        <f>IF(Englisch&lt;&gt;"","I order the following amount of shuttles:","Ich bestelle hiermit bei NordSport verbindlich die folgenden Mengen Federbälle:")</f>
        <v>Ich bestelle hiermit bei NordSport verbindlich die folgenden Mengen Federbälle:</v>
      </c>
      <c r="K31" s="34"/>
    </row>
    <row r="32" spans="5:11" ht="8.1" customHeight="1" x14ac:dyDescent="0.3">
      <c r="K32" s="34"/>
    </row>
    <row r="33" spans="5:11" ht="15" customHeight="1" x14ac:dyDescent="0.3">
      <c r="E33" s="33"/>
      <c r="F33" t="str">
        <f>IF(Englisch&lt;&gt;""," Cases VICTOR Champion No 1"," Rollen VICTOR Champion No 1")</f>
        <v xml:space="preserve"> Rollen VICTOR Champion No 1</v>
      </c>
      <c r="G33" s="134" t="str">
        <f>IF(Englisch&lt;&gt;"","On weekend: 32,00 Euro
preorder here: 3+ cases at 29,90 Euro each","Am Wochenende: 32,00 Euro
nur hier ab 3 Rollen je 29,90 Euro")</f>
        <v>Am Wochenende: 32,00 Euro
nur hier ab 3 Rollen je 29,90 Euro</v>
      </c>
      <c r="H33" s="134"/>
      <c r="I33" s="134"/>
      <c r="K33" s="73"/>
    </row>
    <row r="34" spans="5:11" x14ac:dyDescent="0.3">
      <c r="G34" s="134"/>
      <c r="H34" s="134"/>
      <c r="I34" s="134"/>
      <c r="K34" s="73" t="str">
        <f>IF(Englisch&lt;&gt;"","Please pay","Zahlung direkt")</f>
        <v>Zahlung direkt</v>
      </c>
    </row>
    <row r="35" spans="5:11" ht="8.1" customHeight="1" x14ac:dyDescent="0.3">
      <c r="K35" s="34"/>
    </row>
    <row r="36" spans="5:11" ht="15" customHeight="1" x14ac:dyDescent="0.3">
      <c r="E36" s="33"/>
      <c r="F36" t="str">
        <f>IF(Englisch&lt;&gt;""," Cases VICTOR GoldChampion"," Rollen VICTOR GoldChampion")</f>
        <v xml:space="preserve"> Rollen VICTOR GoldChampion</v>
      </c>
      <c r="G36" s="134" t="str">
        <f>IF(Englisch&lt;&gt;"","On weekend: 40,00 Euro
preorder here: 3+ cases at 37,90 Euro each","Am Wochenende: 40,00 Euro
nur hier ab 3 Rollen je 37,90 Euro")</f>
        <v>Am Wochenende: 40,00 Euro
nur hier ab 3 Rollen je 37,90 Euro</v>
      </c>
      <c r="H36" s="134"/>
      <c r="I36" s="134"/>
      <c r="K36" s="73" t="str">
        <f>IF(Englisch&lt;&gt;"","at NordSport","an NordSport")</f>
        <v>an NordSport</v>
      </c>
    </row>
    <row r="37" spans="5:11" ht="15" customHeight="1" x14ac:dyDescent="0.3">
      <c r="F37" s="88" t="str">
        <f>IF(Englisch&lt;&gt;"","  (mandatory for our A-class)","  (verpflichtend für die A-Klasse)")</f>
        <v xml:space="preserve">  (verpflichtend für die A-Klasse)</v>
      </c>
      <c r="G37" s="134"/>
      <c r="H37" s="134"/>
      <c r="I37" s="134"/>
      <c r="K37" s="34"/>
    </row>
    <row r="38" spans="5:11" ht="8.1" customHeight="1" x14ac:dyDescent="0.3">
      <c r="K38" s="34"/>
    </row>
    <row r="39" spans="5:11" x14ac:dyDescent="0.3">
      <c r="E39" s="133" t="str">
        <f>IF(Englisch&lt;&gt;"","More information at","Mehr Infos unter")&amp;" www.nordsport.store"</f>
        <v>Mehr Infos unter www.nordsport.store</v>
      </c>
      <c r="F39" s="133"/>
      <c r="G39" s="133"/>
      <c r="H39" s="135" t="str">
        <f>IF(AND(MAX(E33:E36)&gt;0,MIN(E33:E36)&lt;3),IF(Englisch&lt;&gt;"","Please order at least 3 cases.","Bitte bestelle mindestens drei Rollen."),"")</f>
        <v/>
      </c>
      <c r="I39" s="135"/>
      <c r="J39" s="135"/>
      <c r="K39" s="135"/>
    </row>
    <row r="40" spans="5:11" x14ac:dyDescent="0.3">
      <c r="H40" s="135"/>
      <c r="I40" s="135"/>
      <c r="J40" s="135"/>
      <c r="K40" s="135"/>
    </row>
    <row r="41" spans="5:11" x14ac:dyDescent="0.3">
      <c r="K41" s="34"/>
    </row>
    <row r="42" spans="5:11" x14ac:dyDescent="0.3">
      <c r="E42" s="122" t="str">
        <f>IF(Englisch&lt;&gt;"","Entry fee","Meldegeld")</f>
        <v>Meldegeld</v>
      </c>
      <c r="F42" s="123"/>
      <c r="G42" s="123"/>
      <c r="H42" s="123"/>
      <c r="I42" s="124"/>
      <c r="K42" s="34"/>
    </row>
    <row r="43" spans="5:11" ht="8.1" customHeight="1" x14ac:dyDescent="0.3">
      <c r="K43" s="34"/>
    </row>
    <row r="44" spans="5:11" x14ac:dyDescent="0.3">
      <c r="E44">
        <f>COUNT('Teilnehmende - Starters'!D81:D156)</f>
        <v>0</v>
      </c>
      <c r="F44" t="str">
        <f>IF(Englisch&lt;&gt;"","  starters in singles","  Leute im Einzel")</f>
        <v xml:space="preserve">  Leute im Einzel</v>
      </c>
      <c r="I44" s="36" t="s">
        <v>139</v>
      </c>
      <c r="K44" s="34">
        <f>E44*13</f>
        <v>0</v>
      </c>
    </row>
    <row r="45" spans="5:11" x14ac:dyDescent="0.3">
      <c r="E45">
        <f>SUM('Teilnehmende - Starters'!AA:AA)</f>
        <v>0</v>
      </c>
      <c r="F45" t="str">
        <f>IF(Englisch&lt;&gt;"","  starters in doubles","  Leute im Doppel")</f>
        <v xml:space="preserve">  Leute im Doppel</v>
      </c>
      <c r="I45" s="36" t="s">
        <v>55</v>
      </c>
      <c r="K45" s="34">
        <f>E45*9</f>
        <v>0</v>
      </c>
    </row>
    <row r="46" spans="5:11" x14ac:dyDescent="0.3">
      <c r="E46">
        <f>SUM('Teilnehmende - Starters'!AB:AB)</f>
        <v>0</v>
      </c>
      <c r="F46" t="str">
        <f>IF(Englisch&lt;&gt;"","  starters in mixed","  Leute im Mixed")</f>
        <v xml:space="preserve">  Leute im Mixed</v>
      </c>
      <c r="I46" s="36" t="s">
        <v>55</v>
      </c>
      <c r="K46" s="34">
        <f>E46*9</f>
        <v>0</v>
      </c>
    </row>
    <row r="47" spans="5:11" x14ac:dyDescent="0.3">
      <c r="I47" s="36"/>
      <c r="K47" s="34"/>
    </row>
    <row r="48" spans="5:11" x14ac:dyDescent="0.3">
      <c r="E48" s="75" t="str">
        <f>IF(Englisch&lt;&gt;"","Sum of entry fee, accomodation and breakfast","Gesamtsumme aus Meldegeld, Übernachtung, Frühstück")</f>
        <v>Gesamtsumme aus Meldegeld, Übernachtung, Frühstück</v>
      </c>
      <c r="F48" s="76"/>
      <c r="G48" s="76"/>
      <c r="H48" s="76"/>
      <c r="I48" s="77"/>
      <c r="J48" s="76"/>
      <c r="K48" s="78">
        <f>SUM(K4:K47)</f>
        <v>0</v>
      </c>
    </row>
    <row r="49" spans="5:11" ht="8.1" customHeight="1" x14ac:dyDescent="0.3">
      <c r="K49" s="34"/>
    </row>
    <row r="50" spans="5:11" x14ac:dyDescent="0.3">
      <c r="E50" s="56"/>
      <c r="F50" t="str">
        <f>IF(Englisch&lt;&gt;""," Please debit from my bank account End of April"," Wir zahlen per Lastschrift Ende April")</f>
        <v xml:space="preserve"> Wir zahlen per Lastschrift Ende April</v>
      </c>
      <c r="J50" s="74"/>
    </row>
    <row r="51" spans="5:11" x14ac:dyDescent="0.3">
      <c r="E51" s="56" t="str">
        <f>IF(E50="","x","")</f>
        <v>x</v>
      </c>
      <c r="F51" s="131" t="str">
        <f>IF(Englisch&lt;&gt;""," We pay by transfer before entry deadline to DE69 2219 1405 0002 8391 60.
 Recipient: Förderverein für Badminton",
" Wir zahlen per Überweisung vor Meldeschluss auf DE 69 22191405 0002839160.
 Kontoinhaber: Förderverein für Badminton")</f>
        <v xml:space="preserve"> Wir zahlen per Überweisung vor Meldeschluss auf DE 69 22191405 0002839160.
 Kontoinhaber: Förderverein für Badminton</v>
      </c>
      <c r="G51" s="131"/>
      <c r="H51" s="131"/>
      <c r="I51" s="131"/>
      <c r="K51" s="34"/>
    </row>
    <row r="52" spans="5:11" x14ac:dyDescent="0.3">
      <c r="F52" s="131"/>
      <c r="G52" s="131"/>
      <c r="H52" s="131"/>
      <c r="I52" s="131"/>
      <c r="K52" s="34"/>
    </row>
    <row r="53" spans="5:11" ht="8.1" customHeight="1" x14ac:dyDescent="0.3">
      <c r="K53" s="34"/>
    </row>
    <row r="54" spans="5:11" x14ac:dyDescent="0.3">
      <c r="E54" t="str">
        <f>IF(Englisch&lt;&gt;"","Our bank account:","Unser Konto:")</f>
        <v>Unser Konto:</v>
      </c>
      <c r="K54" s="34"/>
    </row>
    <row r="55" spans="5:11" x14ac:dyDescent="0.3">
      <c r="F55" t="s">
        <v>56</v>
      </c>
      <c r="G55" s="126"/>
      <c r="H55" s="128"/>
      <c r="K55" s="34"/>
    </row>
    <row r="56" spans="5:11" x14ac:dyDescent="0.3">
      <c r="F56" t="str">
        <f>IF(Englisch&lt;&gt;"","Account holder:","Kontoinhaber:")</f>
        <v>Kontoinhaber:</v>
      </c>
      <c r="G56" s="126"/>
      <c r="H56" s="128"/>
      <c r="K56" s="34"/>
    </row>
    <row r="57" spans="5:11" x14ac:dyDescent="0.3">
      <c r="K57" s="34"/>
    </row>
    <row r="58" spans="5:11" x14ac:dyDescent="0.3">
      <c r="K58" s="34"/>
    </row>
    <row r="59" spans="5:11" x14ac:dyDescent="0.3">
      <c r="K59" s="34"/>
    </row>
    <row r="60" spans="5:11" x14ac:dyDescent="0.3">
      <c r="K60" s="34"/>
    </row>
    <row r="61" spans="5:11" x14ac:dyDescent="0.3">
      <c r="K61" s="34"/>
    </row>
    <row r="62" spans="5:11" x14ac:dyDescent="0.3">
      <c r="K62" s="34"/>
    </row>
    <row r="63" spans="5:11" x14ac:dyDescent="0.3">
      <c r="K63" s="34"/>
    </row>
    <row r="64" spans="5:11" x14ac:dyDescent="0.3">
      <c r="K64" s="34"/>
    </row>
    <row r="65" spans="11:11" x14ac:dyDescent="0.3">
      <c r="K65" s="34"/>
    </row>
    <row r="66" spans="11:11" x14ac:dyDescent="0.3">
      <c r="K66" s="34"/>
    </row>
    <row r="67" spans="11:11" x14ac:dyDescent="0.3">
      <c r="K67" s="34"/>
    </row>
    <row r="68" spans="11:11" x14ac:dyDescent="0.3">
      <c r="K68" s="34"/>
    </row>
    <row r="69" spans="11:11" x14ac:dyDescent="0.3">
      <c r="K69" s="34"/>
    </row>
    <row r="70" spans="11:11" x14ac:dyDescent="0.3">
      <c r="K70" s="34"/>
    </row>
    <row r="71" spans="11:11" x14ac:dyDescent="0.3">
      <c r="K71" s="34"/>
    </row>
    <row r="72" spans="11:11" x14ac:dyDescent="0.3">
      <c r="K72" s="34"/>
    </row>
    <row r="73" spans="11:11" x14ac:dyDescent="0.3">
      <c r="K73" s="34"/>
    </row>
    <row r="74" spans="11:11" x14ac:dyDescent="0.3">
      <c r="K74" s="34"/>
    </row>
    <row r="75" spans="11:11" x14ac:dyDescent="0.3">
      <c r="K75" s="34"/>
    </row>
    <row r="76" spans="11:11" x14ac:dyDescent="0.3">
      <c r="K76" s="34"/>
    </row>
    <row r="77" spans="11:11" x14ac:dyDescent="0.3">
      <c r="K77" s="34"/>
    </row>
    <row r="78" spans="11:11" x14ac:dyDescent="0.3">
      <c r="K78" s="34"/>
    </row>
    <row r="79" spans="11:11" x14ac:dyDescent="0.3">
      <c r="K79" s="34"/>
    </row>
    <row r="80" spans="11:11" x14ac:dyDescent="0.3">
      <c r="K80" s="34"/>
    </row>
    <row r="81" spans="11:11" x14ac:dyDescent="0.3">
      <c r="K81" s="34"/>
    </row>
    <row r="82" spans="11:11" x14ac:dyDescent="0.3">
      <c r="K82" s="34"/>
    </row>
    <row r="83" spans="11:11" x14ac:dyDescent="0.3">
      <c r="K83" s="34"/>
    </row>
    <row r="84" spans="11:11" x14ac:dyDescent="0.3">
      <c r="K84" s="34"/>
    </row>
    <row r="85" spans="11:11" x14ac:dyDescent="0.3">
      <c r="K85" s="34"/>
    </row>
    <row r="86" spans="11:11" x14ac:dyDescent="0.3">
      <c r="K86" s="34"/>
    </row>
    <row r="87" spans="11:11" x14ac:dyDescent="0.3">
      <c r="K87" s="34"/>
    </row>
  </sheetData>
  <sheetProtection algorithmName="SHA-512" hashValue="mS10E14cBKdaHVsyN2l7jLwW/HVGX3GdduKODZxbM1ATUbPbZh4X8BKQwUgwAj68wl2G6Fc4s6uTAcrL3vnxOg==" saltValue="WKhNHKKenwwU6RjnZbTTdg==" spinCount="100000" sheet="1" objects="1" scenarios="1"/>
  <mergeCells count="18">
    <mergeCell ref="E42:I42"/>
    <mergeCell ref="F51:I52"/>
    <mergeCell ref="G55:H55"/>
    <mergeCell ref="G56:H56"/>
    <mergeCell ref="E18:H18"/>
    <mergeCell ref="E39:G39"/>
    <mergeCell ref="G33:I34"/>
    <mergeCell ref="G36:I37"/>
    <mergeCell ref="H39:K40"/>
    <mergeCell ref="E3:I3"/>
    <mergeCell ref="E21:I21"/>
    <mergeCell ref="E27:I27"/>
    <mergeCell ref="E29:I29"/>
    <mergeCell ref="E12:G12"/>
    <mergeCell ref="E13:G13"/>
    <mergeCell ref="E14:G14"/>
    <mergeCell ref="E15:G15"/>
    <mergeCell ref="I12:K15"/>
  </mergeCells>
  <conditionalFormatting sqref="E12:I12 E1:K1 E3:K11 E13:H15 E16:K32 E33:F34 J33:K34 E35:K35 E36:F37 J36:K37 E38:K38 E39 H39 E40:G40 E41:K56">
    <cfRule type="expression" dxfId="4" priority="5">
      <formula>$E$2&lt;&gt;""</formula>
    </cfRule>
  </conditionalFormatting>
  <conditionalFormatting sqref="G33">
    <cfRule type="expression" dxfId="3" priority="3">
      <formula>$E$2&lt;&gt;""</formula>
    </cfRule>
  </conditionalFormatting>
  <conditionalFormatting sqref="I12:K15">
    <cfRule type="expression" dxfId="1" priority="4">
      <formula>AND(MIN($E$8:$E$9)&gt;0,MAX($E$8:$E$9)&lt;12)</formula>
    </cfRule>
  </conditionalFormatting>
  <conditionalFormatting sqref="G36">
    <cfRule type="expression" dxfId="0" priority="1">
      <formula>$E$2&lt;&gt;""</formula>
    </cfRule>
  </conditionalFormatting>
  <dataValidations count="3">
    <dataValidation type="decimal" allowBlank="1" showInputMessage="1" showErrorMessage="1" error="Hier bitte die Anzahl der Personen eintragen._x000a__x000a_Please fill in the number of people." sqref="E6:E7" xr:uid="{3EF1C608-8F33-4187-8D76-ECC505FE8768}">
      <formula1>0</formula1>
      <formula2>99</formula2>
    </dataValidation>
    <dataValidation type="whole" allowBlank="1" showInputMessage="1" showErrorMessage="1" sqref="G23:G24 E36 E33" xr:uid="{BB96EF00-8E5D-49AB-9CE3-2C26E8110F41}">
      <formula1>0</formula1>
      <formula2>100</formula2>
    </dataValidation>
    <dataValidation type="decimal" allowBlank="1" showInputMessage="1" showErrorMessage="1" error="Hier bitte die Anzahl der Personen eintragen._x000a__x000a_Please fill in the number of people." sqref="E8:E9" xr:uid="{46F42423-0D83-4FCC-A045-C5D689DD3BD0}">
      <formula1>12</formula1>
      <formula2>99</formula2>
    </dataValidation>
  </dataValidations>
  <hyperlinks>
    <hyperlink ref="E39" r:id="rId1" tooltip="Link zu NordSport" display="http://www.nordsport.store/" xr:uid="{D4DDE00C-F91F-42BC-99FF-98B4264A981B}"/>
    <hyperlink ref="E39:G39" r:id="rId2" tooltip="Link zu NordSport" display="https://nordsport.store/" xr:uid="{D886CD22-2279-42E7-B301-5550BAA5EF64}"/>
  </hyperlinks>
  <pageMargins left="0.70866141732283472" right="0.70866141732283472" top="0.78740157480314965" bottom="0.78740157480314965" header="0.31496062992125984" footer="0.31496062992125984"/>
  <pageSetup paperSize="9" scale="80" orientation="portrait" horizontalDpi="4294967293" verticalDpi="4294967293"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9BA6B-B700-40AD-8FDB-C9D8AA08E7C3}">
  <sheetPr codeName="Tabelle5"/>
  <dimension ref="A1:AR77"/>
  <sheetViews>
    <sheetView showGridLines="0" showRowColHeaders="0" zoomScale="60" zoomScaleNormal="60" workbookViewId="0">
      <pane ySplit="13" topLeftCell="A14" activePane="bottomLeft" state="frozen"/>
      <selection pane="bottomLeft" activeCell="A2" sqref="A2"/>
    </sheetView>
  </sheetViews>
  <sheetFormatPr baseColWidth="10" defaultColWidth="11.44140625" defaultRowHeight="14.4" x14ac:dyDescent="0.3"/>
  <cols>
    <col min="1" max="1" width="7" style="1" bestFit="1" customWidth="1"/>
    <col min="2" max="2" width="7" style="1" customWidth="1"/>
    <col min="3" max="3" width="11.44140625" style="1"/>
    <col min="4" max="5" width="15.6640625" style="1" customWidth="1"/>
    <col min="6" max="6" width="8.6640625" style="1" bestFit="1" customWidth="1"/>
    <col min="7" max="7" width="3.44140625" style="1" bestFit="1" customWidth="1"/>
    <col min="8" max="8" width="3.109375" style="1" bestFit="1" customWidth="1"/>
    <col min="9" max="9" width="4.33203125" style="1" bestFit="1" customWidth="1"/>
    <col min="10" max="10" width="9.44140625" style="1" bestFit="1" customWidth="1"/>
    <col min="11" max="11" width="8.109375" style="1" bestFit="1" customWidth="1"/>
    <col min="12" max="12" width="8.109375" style="1" customWidth="1"/>
    <col min="13" max="13" width="11.6640625" style="1" bestFit="1" customWidth="1"/>
    <col min="14" max="14" width="4.6640625" style="1" customWidth="1"/>
    <col min="15" max="15" width="5" style="1" bestFit="1" customWidth="1"/>
    <col min="16" max="17" width="15.6640625" style="1" customWidth="1"/>
    <col min="18" max="18" width="7" style="1" bestFit="1" customWidth="1"/>
    <col min="19" max="19" width="3.44140625" style="1" bestFit="1" customWidth="1"/>
    <col min="20" max="20" width="3.109375" style="1" bestFit="1" customWidth="1"/>
    <col min="21" max="21" width="4.33203125" style="1" bestFit="1" customWidth="1"/>
    <col min="22" max="22" width="3.5546875" style="1" bestFit="1" customWidth="1"/>
    <col min="23" max="23" width="4.6640625" style="1" customWidth="1"/>
    <col min="24" max="24" width="5" style="1" bestFit="1" customWidth="1"/>
    <col min="25" max="25" width="15.6640625" style="1" customWidth="1"/>
    <col min="26" max="26" width="7" style="1" bestFit="1" customWidth="1"/>
    <col min="27" max="27" width="5" style="1" bestFit="1" customWidth="1"/>
    <col min="28" max="28" width="15.6640625" style="1" customWidth="1"/>
    <col min="29" max="29" width="7" style="1" bestFit="1" customWidth="1"/>
    <col min="30" max="30" width="3.44140625" style="1" bestFit="1" customWidth="1"/>
    <col min="31" max="31" width="3.109375" style="1" bestFit="1" customWidth="1"/>
    <col min="32" max="32" width="8.5546875" style="1" bestFit="1" customWidth="1"/>
    <col min="33" max="33" width="3.5546875" style="1" bestFit="1" customWidth="1"/>
    <col min="34" max="34" width="4.6640625" style="1" customWidth="1"/>
    <col min="35" max="35" width="5" style="1" bestFit="1" customWidth="1"/>
    <col min="36" max="36" width="15.6640625" style="1" customWidth="1"/>
    <col min="37" max="37" width="7" style="1" bestFit="1" customWidth="1"/>
    <col min="38" max="38" width="5" style="1" bestFit="1" customWidth="1"/>
    <col min="39" max="39" width="15.6640625" style="1" customWidth="1"/>
    <col min="40" max="40" width="7" style="1" bestFit="1" customWidth="1"/>
    <col min="41" max="41" width="3.44140625" style="1" bestFit="1" customWidth="1"/>
    <col min="42" max="42" width="3.109375" style="1" bestFit="1" customWidth="1"/>
    <col min="43" max="43" width="8.5546875" style="1" bestFit="1" customWidth="1"/>
    <col min="44" max="44" width="3.5546875" style="1" bestFit="1" customWidth="1"/>
    <col min="45" max="16384" width="11.44140625" style="1"/>
  </cols>
  <sheetData>
    <row r="1" spans="1:44" ht="87.6" x14ac:dyDescent="0.3">
      <c r="A1" s="31" t="s">
        <v>46</v>
      </c>
      <c r="B1" s="57" t="s">
        <v>8</v>
      </c>
      <c r="C1" s="57" t="s">
        <v>6</v>
      </c>
      <c r="D1" s="57" t="s">
        <v>0</v>
      </c>
      <c r="E1" s="57" t="s">
        <v>1</v>
      </c>
      <c r="F1" s="57" t="s">
        <v>59</v>
      </c>
      <c r="G1" s="57" t="s">
        <v>60</v>
      </c>
      <c r="H1" s="57" t="s">
        <v>61</v>
      </c>
      <c r="I1" s="57" t="s">
        <v>62</v>
      </c>
      <c r="J1" s="57" t="s">
        <v>63</v>
      </c>
      <c r="K1" s="57" t="s">
        <v>64</v>
      </c>
      <c r="L1" s="57" t="s">
        <v>131</v>
      </c>
      <c r="M1" s="57" t="s">
        <v>133</v>
      </c>
      <c r="N1" s="57" t="s">
        <v>132</v>
      </c>
      <c r="O1" s="57" t="s">
        <v>134</v>
      </c>
      <c r="P1" s="57" t="s">
        <v>92</v>
      </c>
      <c r="Q1" s="57" t="s">
        <v>65</v>
      </c>
      <c r="R1" s="57" t="s">
        <v>66</v>
      </c>
      <c r="S1" s="57" t="s">
        <v>67</v>
      </c>
      <c r="T1" s="57" t="s">
        <v>68</v>
      </c>
      <c r="U1" s="57" t="s">
        <v>69</v>
      </c>
      <c r="V1" s="57" t="s">
        <v>70</v>
      </c>
      <c r="W1" s="57" t="s">
        <v>71</v>
      </c>
      <c r="X1" s="57" t="s">
        <v>72</v>
      </c>
      <c r="Y1" s="57" t="s">
        <v>73</v>
      </c>
      <c r="Z1" s="57" t="s">
        <v>74</v>
      </c>
      <c r="AA1" s="57" t="s">
        <v>75</v>
      </c>
      <c r="AB1" s="57" t="s">
        <v>76</v>
      </c>
      <c r="AC1" s="57" t="s">
        <v>77</v>
      </c>
      <c r="AD1" s="57" t="s">
        <v>78</v>
      </c>
      <c r="AE1" s="57">
        <v>6000</v>
      </c>
      <c r="AF1" s="57" t="s">
        <v>79</v>
      </c>
      <c r="AG1" s="57" t="s">
        <v>82</v>
      </c>
      <c r="AH1" s="57" t="s">
        <v>80</v>
      </c>
      <c r="AI1" s="57" t="s">
        <v>81</v>
      </c>
      <c r="AJ1" s="57" t="s">
        <v>83</v>
      </c>
      <c r="AK1" s="57" t="s">
        <v>84</v>
      </c>
      <c r="AL1" s="57" t="s">
        <v>85</v>
      </c>
      <c r="AM1" s="57" t="s">
        <v>86</v>
      </c>
      <c r="AN1" s="57" t="s">
        <v>87</v>
      </c>
      <c r="AO1" s="57" t="s">
        <v>88</v>
      </c>
      <c r="AP1" s="57" t="s">
        <v>89</v>
      </c>
      <c r="AQ1" s="57" t="s">
        <v>90</v>
      </c>
      <c r="AR1" s="57" t="s">
        <v>91</v>
      </c>
    </row>
    <row r="2" spans="1:44" x14ac:dyDescent="0.3">
      <c r="A2" s="39">
        <v>999</v>
      </c>
      <c r="B2" s="58" t="str">
        <f>IF('Vereine - Clubs'!F28="","",'Vereine - Clubs'!F28)</f>
        <v/>
      </c>
      <c r="C2" s="58" t="str">
        <f>IF('Vereine - Clubs'!E28="","",'Vereine - Clubs'!E28)</f>
        <v/>
      </c>
      <c r="D2" s="58" t="str">
        <f>IF('Vereine - Clubs'!K28="","",'Vereine - Clubs'!K28)</f>
        <v/>
      </c>
      <c r="E2" s="58" t="str">
        <f>IF('Vereine - Clubs'!K29="","",'Vereine - Clubs'!K29)</f>
        <v/>
      </c>
      <c r="F2" s="58" t="str">
        <f>IF('Vereine - Clubs'!K30="","",'Vereine - Clubs'!K30)</f>
        <v/>
      </c>
      <c r="G2" s="58" t="str">
        <f>IF('Vereine - Clubs'!K31="","",'Vereine - Clubs'!K31)</f>
        <v/>
      </c>
      <c r="H2" s="58" t="str">
        <f>IF('Vereine - Clubs'!K32="","",'Vereine - Clubs'!K32)</f>
        <v/>
      </c>
      <c r="I2" s="58" t="str">
        <f>IF('Vereine - Clubs'!K33="","",'Vereine - Clubs'!K33)</f>
        <v/>
      </c>
      <c r="J2" s="58" t="str">
        <f>IF('Vereine - Clubs'!K34="","",'Vereine - Clubs'!K34)</f>
        <v/>
      </c>
      <c r="K2" s="58" t="str">
        <f>IF('Vereine - Clubs'!K35="","",'Vereine - Clubs'!K35)</f>
        <v/>
      </c>
      <c r="L2" s="58">
        <f>IF('Drum herum - around'!E6="",0,'Drum herum - around'!E6)</f>
        <v>0</v>
      </c>
      <c r="M2" s="58">
        <f>IF('Drum herum - around'!E7="",0,'Drum herum - around'!E7)</f>
        <v>0</v>
      </c>
      <c r="N2" s="58">
        <f>IF('Drum herum - around'!E8="",0,'Drum herum - around'!E8)</f>
        <v>0</v>
      </c>
      <c r="O2" s="58">
        <f>IF('Drum herum - around'!E9="",0,'Drum herum - around'!E9)</f>
        <v>0</v>
      </c>
      <c r="P2" s="58" t="str">
        <f>IF('Drum herum - around'!E18="","",'Drum herum - around'!E18)</f>
        <v/>
      </c>
      <c r="Q2" s="58" t="str">
        <f>IF(Englisch="","d","e")</f>
        <v>d</v>
      </c>
      <c r="R2" s="58" t="str">
        <f>IF('Drum herum - around'!E12="","",'Drum herum - around'!E12)</f>
        <v/>
      </c>
      <c r="S2" s="58" t="str">
        <f>IF('Drum herum - around'!H12="","",'Drum herum - around'!H12)</f>
        <v/>
      </c>
      <c r="T2" s="58" t="str">
        <f>IF('Drum herum - around'!E13="","",'Drum herum - around'!E13)</f>
        <v/>
      </c>
      <c r="U2" s="58" t="str">
        <f>IF('Drum herum - around'!H13="","",'Drum herum - around'!H13)</f>
        <v/>
      </c>
      <c r="V2" s="58" t="str">
        <f>IF('Drum herum - around'!E14="","",'Drum herum - around'!E14)</f>
        <v/>
      </c>
      <c r="W2" s="58" t="str">
        <f>IF('Drum herum - around'!H14="","",'Drum herum - around'!H14)</f>
        <v/>
      </c>
      <c r="X2" s="58" t="str">
        <f>IF('Drum herum - around'!E15="","",'Drum herum - around'!E15)</f>
        <v/>
      </c>
      <c r="Y2" s="58" t="str">
        <f>IF('Drum herum - around'!H15="","",'Drum herum - around'!H15)</f>
        <v/>
      </c>
      <c r="Z2" s="58">
        <f>'Drum herum - around'!G23</f>
        <v>0</v>
      </c>
      <c r="AA2" s="58">
        <f>'Drum herum - around'!G24</f>
        <v>0</v>
      </c>
      <c r="AB2" s="58" t="str">
        <f>IF('Drum herum - around'!E50&lt;&gt;"","L",IF('Drum herum - around'!E51&lt;&gt;"","Ü","Ü"))</f>
        <v>Ü</v>
      </c>
      <c r="AC2" s="58" t="str">
        <f>IF('Drum herum - around'!G55="","",'Drum herum - around'!G55)</f>
        <v/>
      </c>
      <c r="AD2" s="58" t="str">
        <f>IF('Drum herum - around'!G56="","",'Drum herum - around'!G56)</f>
        <v/>
      </c>
      <c r="AE2" s="58" t="str">
        <f>IF('Drum herum - around'!E33="","",'Drum herum - around'!E33)</f>
        <v/>
      </c>
      <c r="AF2" s="58" t="str">
        <f>IF('Drum herum - around'!E36="","",'Drum herum - around'!E36)</f>
        <v/>
      </c>
      <c r="AG2" s="58" t="str">
        <f>IF('Vereine - Clubs'!G28="","",IFERROR(IF(VLOOKUP('Vereine - Clubs'!G28,'Vereine - Clubs'!$G$6:$H$27,2,0)="",'Vereine - Clubs'!G28,VLOOKUP('Vereine - Clubs'!G28,'Vereine - Clubs'!$G$6:$H$27,2,0)),'Vereine - Clubs'!G28))</f>
        <v/>
      </c>
      <c r="AH2" s="58" t="str">
        <f>IF($A$3="","",IF($A$3&lt;1000,$A$3,""))</f>
        <v/>
      </c>
      <c r="AI2" s="58" t="str">
        <f>IF($A$4="","",IF($A$4&lt;1000,$A$4,""))</f>
        <v/>
      </c>
      <c r="AJ2" s="58" t="str">
        <f>IF($A$5="","",IF($A$5&lt;1000,$A$5,""))</f>
        <v/>
      </c>
      <c r="AK2" s="58" t="str">
        <f>IF($A$6="","",IF($A$6&lt;1000,$A$6,""))</f>
        <v/>
      </c>
      <c r="AL2" s="58" t="str">
        <f>IF($A$7="","",IF($A$7&lt;1000,$A$7,""))</f>
        <v/>
      </c>
      <c r="AM2" s="58" t="str">
        <f>IF($A$8="","",IF($A$8&lt;1000,$A$8,""))</f>
        <v/>
      </c>
      <c r="AN2" s="58" t="str">
        <f>IF($A$9="","",IF($A$9&lt;1000,$A$9,""))</f>
        <v/>
      </c>
      <c r="AO2" s="58" t="str">
        <f>IF($A$10="","",IF($A$10&lt;1000,$A$10,""))</f>
        <v/>
      </c>
      <c r="AP2" s="58"/>
    </row>
    <row r="3" spans="1:44" x14ac:dyDescent="0.3">
      <c r="A3" s="59" t="str">
        <f>IF('Vereine - Clubs'!C29="","",'Vereine - Clubs'!C29)</f>
        <v/>
      </c>
      <c r="B3" s="58" t="str">
        <f>IF('Vereine - Clubs'!F29="","",'Vereine - Clubs'!F29)</f>
        <v/>
      </c>
      <c r="C3" s="58" t="str">
        <f>IF('Vereine - Clubs'!E29="","",'Vereine - Clubs'!E29)</f>
        <v/>
      </c>
      <c r="D3" s="58" t="str">
        <f t="shared" ref="D3:I10" si="0">IF($A3="","",D2)</f>
        <v/>
      </c>
      <c r="E3" s="58" t="str">
        <f t="shared" si="0"/>
        <v/>
      </c>
      <c r="F3" s="58" t="str">
        <f t="shared" si="0"/>
        <v/>
      </c>
      <c r="G3" s="58" t="str">
        <f t="shared" si="0"/>
        <v/>
      </c>
      <c r="H3" s="58" t="str">
        <f t="shared" si="0"/>
        <v/>
      </c>
      <c r="I3" s="58" t="str">
        <f t="shared" si="0"/>
        <v/>
      </c>
      <c r="J3" s="58" t="str">
        <f t="shared" ref="J3:J10" si="1">IF($A3="","",J2)</f>
        <v/>
      </c>
      <c r="K3" s="58" t="str">
        <f t="shared" ref="K3:K10" si="2">IF($A3="","",K2)</f>
        <v/>
      </c>
      <c r="L3" s="58"/>
      <c r="M3" s="58"/>
      <c r="N3" s="58"/>
      <c r="O3" s="58"/>
      <c r="P3" s="58"/>
      <c r="Q3" s="58"/>
      <c r="R3" s="58"/>
      <c r="S3" s="58"/>
      <c r="T3" s="58"/>
      <c r="U3" s="58"/>
      <c r="V3" s="58"/>
      <c r="W3" s="58"/>
      <c r="X3" s="58"/>
      <c r="Y3" s="58"/>
      <c r="Z3" s="58"/>
      <c r="AA3" s="58"/>
      <c r="AB3" s="58" t="str">
        <f t="shared" ref="AB3:AB10" si="3">IF($A3="","",AB2)</f>
        <v/>
      </c>
      <c r="AC3" s="58"/>
      <c r="AD3" s="58"/>
      <c r="AE3" s="58"/>
      <c r="AF3" s="58"/>
      <c r="AG3" s="58" t="str">
        <f>IF('Vereine - Clubs'!G29="","",IFERROR(IF(VLOOKUP('Vereine - Clubs'!G29,'Vereine - Clubs'!$G$6:$H$27,2,0)="",'Vereine - Clubs'!G29,VLOOKUP('Vereine - Clubs'!G29,'Vereine - Clubs'!$G$6:$H$27,2,0)),'Vereine - Clubs'!G29))</f>
        <v/>
      </c>
      <c r="AH3" s="58">
        <f>IF($A$2="","",IF($A$2&lt;1000,$A$2,""))</f>
        <v>999</v>
      </c>
      <c r="AI3" s="58" t="str">
        <f>IF($A$4="","",IF($A$4&lt;1000,$A$4,""))</f>
        <v/>
      </c>
      <c r="AJ3" s="58" t="str">
        <f t="shared" ref="AJ3:AJ4" si="4">IF($A$5="","",IF($A$5&lt;1000,$A$5,""))</f>
        <v/>
      </c>
      <c r="AK3" s="58" t="str">
        <f t="shared" ref="AK3:AK5" si="5">IF($A$6="","",IF($A$6&lt;1000,$A$6,""))</f>
        <v/>
      </c>
      <c r="AL3" s="58" t="str">
        <f t="shared" ref="AL3:AL6" si="6">IF($A$7="","",IF($A$7&lt;1000,$A$7,""))</f>
        <v/>
      </c>
      <c r="AM3" s="58" t="str">
        <f t="shared" ref="AM3:AM7" si="7">IF($A$8="","",IF($A$8&lt;1000,$A$8,""))</f>
        <v/>
      </c>
      <c r="AN3" s="58" t="str">
        <f t="shared" ref="AN3:AN8" si="8">IF($A$9="","",IF($A$9&lt;1000,$A$9,""))</f>
        <v/>
      </c>
      <c r="AO3" s="58" t="str">
        <f t="shared" ref="AO3:AO9" si="9">IF($A$10="","",IF($A$10&lt;1000,$A$10,""))</f>
        <v/>
      </c>
      <c r="AP3" s="58"/>
    </row>
    <row r="4" spans="1:44" x14ac:dyDescent="0.3">
      <c r="A4" s="59" t="str">
        <f>IF('Vereine - Clubs'!C30="","",'Vereine - Clubs'!C30)</f>
        <v/>
      </c>
      <c r="B4" s="58" t="str">
        <f>IF('Vereine - Clubs'!F30="","",'Vereine - Clubs'!F30)</f>
        <v/>
      </c>
      <c r="C4" s="58" t="str">
        <f>IF('Vereine - Clubs'!E30="","",'Vereine - Clubs'!E30)</f>
        <v/>
      </c>
      <c r="D4" s="58" t="str">
        <f t="shared" si="0"/>
        <v/>
      </c>
      <c r="E4" s="58" t="str">
        <f t="shared" si="0"/>
        <v/>
      </c>
      <c r="F4" s="58" t="str">
        <f t="shared" si="0"/>
        <v/>
      </c>
      <c r="G4" s="58" t="str">
        <f t="shared" si="0"/>
        <v/>
      </c>
      <c r="H4" s="58" t="str">
        <f t="shared" si="0"/>
        <v/>
      </c>
      <c r="I4" s="58" t="str">
        <f t="shared" si="0"/>
        <v/>
      </c>
      <c r="J4" s="58" t="str">
        <f t="shared" si="1"/>
        <v/>
      </c>
      <c r="K4" s="58" t="str">
        <f t="shared" si="2"/>
        <v/>
      </c>
      <c r="L4" s="58"/>
      <c r="M4" s="58"/>
      <c r="N4" s="58"/>
      <c r="O4" s="58"/>
      <c r="P4" s="58"/>
      <c r="Q4" s="58"/>
      <c r="R4" s="58"/>
      <c r="S4" s="58"/>
      <c r="T4" s="58"/>
      <c r="U4" s="58"/>
      <c r="V4" s="58"/>
      <c r="W4" s="58"/>
      <c r="X4" s="58"/>
      <c r="Y4" s="58"/>
      <c r="Z4" s="58"/>
      <c r="AA4" s="58"/>
      <c r="AB4" s="58" t="str">
        <f t="shared" si="3"/>
        <v/>
      </c>
      <c r="AC4" s="58"/>
      <c r="AD4" s="58"/>
      <c r="AE4" s="58"/>
      <c r="AF4" s="58"/>
      <c r="AG4" s="58" t="str">
        <f>IF('Vereine - Clubs'!G30="","",IFERROR(IF(VLOOKUP('Vereine - Clubs'!G30,'Vereine - Clubs'!$G$6:$H$27,2,0)="",'Vereine - Clubs'!G30,VLOOKUP('Vereine - Clubs'!G30,'Vereine - Clubs'!$G$6:$H$27,2,0)),'Vereine - Clubs'!G30))</f>
        <v/>
      </c>
      <c r="AH4" s="58">
        <f t="shared" ref="AH4:AH10" si="10">IF($A$2="","",IF($A$2&lt;1000,$A$2,""))</f>
        <v>999</v>
      </c>
      <c r="AI4" s="58" t="str">
        <f t="shared" ref="AI4:AI10" si="11">IF($A$3="","",IF($A$3&lt;1000,$A$3,""))</f>
        <v/>
      </c>
      <c r="AJ4" s="58" t="str">
        <f t="shared" si="4"/>
        <v/>
      </c>
      <c r="AK4" s="58" t="str">
        <f t="shared" si="5"/>
        <v/>
      </c>
      <c r="AL4" s="58" t="str">
        <f t="shared" si="6"/>
        <v/>
      </c>
      <c r="AM4" s="58" t="str">
        <f t="shared" si="7"/>
        <v/>
      </c>
      <c r="AN4" s="58" t="str">
        <f t="shared" si="8"/>
        <v/>
      </c>
      <c r="AO4" s="58" t="str">
        <f t="shared" si="9"/>
        <v/>
      </c>
      <c r="AP4" s="58"/>
    </row>
    <row r="5" spans="1:44" x14ac:dyDescent="0.3">
      <c r="A5" s="59" t="str">
        <f>IF('Vereine - Clubs'!C31="","",'Vereine - Clubs'!C31)</f>
        <v/>
      </c>
      <c r="B5" s="58" t="str">
        <f>IF('Vereine - Clubs'!F31="","",'Vereine - Clubs'!F31)</f>
        <v/>
      </c>
      <c r="C5" s="58" t="str">
        <f>IF('Vereine - Clubs'!E31="","",'Vereine - Clubs'!E31)</f>
        <v/>
      </c>
      <c r="D5" s="58" t="str">
        <f t="shared" si="0"/>
        <v/>
      </c>
      <c r="E5" s="58" t="str">
        <f t="shared" si="0"/>
        <v/>
      </c>
      <c r="F5" s="58" t="str">
        <f t="shared" si="0"/>
        <v/>
      </c>
      <c r="G5" s="58" t="str">
        <f t="shared" si="0"/>
        <v/>
      </c>
      <c r="H5" s="58" t="str">
        <f t="shared" si="0"/>
        <v/>
      </c>
      <c r="I5" s="58" t="str">
        <f t="shared" si="0"/>
        <v/>
      </c>
      <c r="J5" s="58" t="str">
        <f t="shared" si="1"/>
        <v/>
      </c>
      <c r="K5" s="58" t="str">
        <f t="shared" si="2"/>
        <v/>
      </c>
      <c r="L5" s="58"/>
      <c r="M5" s="58"/>
      <c r="N5" s="58"/>
      <c r="O5" s="58"/>
      <c r="P5" s="58"/>
      <c r="Q5" s="58"/>
      <c r="R5" s="58"/>
      <c r="S5" s="58"/>
      <c r="T5" s="58"/>
      <c r="U5" s="58"/>
      <c r="V5" s="58"/>
      <c r="W5" s="58"/>
      <c r="X5" s="58"/>
      <c r="Y5" s="58"/>
      <c r="Z5" s="58"/>
      <c r="AA5" s="58"/>
      <c r="AB5" s="58" t="str">
        <f t="shared" si="3"/>
        <v/>
      </c>
      <c r="AC5" s="58"/>
      <c r="AD5" s="58"/>
      <c r="AE5" s="58"/>
      <c r="AF5" s="58"/>
      <c r="AG5" s="58" t="str">
        <f>IF('Vereine - Clubs'!G31="","",IFERROR(IF(VLOOKUP('Vereine - Clubs'!G31,'Vereine - Clubs'!$G$6:$H$27,2,0)="",'Vereine - Clubs'!G31,VLOOKUP('Vereine - Clubs'!G31,'Vereine - Clubs'!$G$6:$H$27,2,0)),'Vereine - Clubs'!G31))</f>
        <v/>
      </c>
      <c r="AH5" s="58">
        <f t="shared" si="10"/>
        <v>999</v>
      </c>
      <c r="AI5" s="58" t="str">
        <f t="shared" si="11"/>
        <v/>
      </c>
      <c r="AJ5" s="58" t="str">
        <f t="shared" ref="AJ5:AJ10" si="12">IF($A$4="","",IF($A$4&lt;1000,$A$4,""))</f>
        <v/>
      </c>
      <c r="AK5" s="58" t="str">
        <f t="shared" si="5"/>
        <v/>
      </c>
      <c r="AL5" s="58" t="str">
        <f t="shared" si="6"/>
        <v/>
      </c>
      <c r="AM5" s="58" t="str">
        <f t="shared" si="7"/>
        <v/>
      </c>
      <c r="AN5" s="58" t="str">
        <f t="shared" si="8"/>
        <v/>
      </c>
      <c r="AO5" s="58" t="str">
        <f t="shared" si="9"/>
        <v/>
      </c>
      <c r="AP5" s="58"/>
    </row>
    <row r="6" spans="1:44" x14ac:dyDescent="0.3">
      <c r="A6" s="59" t="str">
        <f>IF('Vereine - Clubs'!C32="","",'Vereine - Clubs'!C32)</f>
        <v/>
      </c>
      <c r="B6" s="58" t="str">
        <f>IF('Vereine - Clubs'!F32="","",'Vereine - Clubs'!F32)</f>
        <v/>
      </c>
      <c r="C6" s="58" t="str">
        <f>IF('Vereine - Clubs'!E32="","",'Vereine - Clubs'!E32)</f>
        <v/>
      </c>
      <c r="D6" s="58" t="str">
        <f t="shared" si="0"/>
        <v/>
      </c>
      <c r="E6" s="58" t="str">
        <f t="shared" si="0"/>
        <v/>
      </c>
      <c r="F6" s="58" t="str">
        <f t="shared" si="0"/>
        <v/>
      </c>
      <c r="G6" s="58" t="str">
        <f t="shared" si="0"/>
        <v/>
      </c>
      <c r="H6" s="58" t="str">
        <f t="shared" si="0"/>
        <v/>
      </c>
      <c r="I6" s="58" t="str">
        <f t="shared" si="0"/>
        <v/>
      </c>
      <c r="J6" s="58" t="str">
        <f t="shared" si="1"/>
        <v/>
      </c>
      <c r="K6" s="58" t="str">
        <f t="shared" si="2"/>
        <v/>
      </c>
      <c r="L6" s="58"/>
      <c r="M6" s="58"/>
      <c r="N6" s="58"/>
      <c r="O6" s="58"/>
      <c r="P6" s="58"/>
      <c r="Q6" s="58"/>
      <c r="R6" s="58"/>
      <c r="S6" s="58"/>
      <c r="T6" s="58"/>
      <c r="U6" s="58"/>
      <c r="V6" s="58"/>
      <c r="W6" s="58"/>
      <c r="X6" s="58"/>
      <c r="Y6" s="58"/>
      <c r="Z6" s="58"/>
      <c r="AA6" s="58"/>
      <c r="AB6" s="58" t="str">
        <f t="shared" si="3"/>
        <v/>
      </c>
      <c r="AC6" s="58"/>
      <c r="AD6" s="58"/>
      <c r="AE6" s="58"/>
      <c r="AF6" s="58"/>
      <c r="AG6" s="58" t="str">
        <f>IF('Vereine - Clubs'!G32="","",IFERROR(IF(VLOOKUP('Vereine - Clubs'!G32,'Vereine - Clubs'!$G$6:$H$27,2,0)="",'Vereine - Clubs'!G32,VLOOKUP('Vereine - Clubs'!G32,'Vereine - Clubs'!$G$6:$H$27,2,0)),'Vereine - Clubs'!G32))</f>
        <v/>
      </c>
      <c r="AH6" s="58">
        <f t="shared" si="10"/>
        <v>999</v>
      </c>
      <c r="AI6" s="58" t="str">
        <f t="shared" si="11"/>
        <v/>
      </c>
      <c r="AJ6" s="58" t="str">
        <f t="shared" si="12"/>
        <v/>
      </c>
      <c r="AK6" s="58" t="str">
        <f t="shared" ref="AK6:AK10" si="13">IF($A$5="","",IF($A$5&lt;1000,$A$5,""))</f>
        <v/>
      </c>
      <c r="AL6" s="58" t="str">
        <f t="shared" si="6"/>
        <v/>
      </c>
      <c r="AM6" s="58" t="str">
        <f t="shared" si="7"/>
        <v/>
      </c>
      <c r="AN6" s="58" t="str">
        <f t="shared" si="8"/>
        <v/>
      </c>
      <c r="AO6" s="58" t="str">
        <f t="shared" si="9"/>
        <v/>
      </c>
      <c r="AP6" s="58"/>
    </row>
    <row r="7" spans="1:44" x14ac:dyDescent="0.3">
      <c r="A7" s="59" t="str">
        <f>IF('Vereine - Clubs'!C33="","",'Vereine - Clubs'!C33)</f>
        <v/>
      </c>
      <c r="B7" s="58" t="str">
        <f>IF('Vereine - Clubs'!F33="","",'Vereine - Clubs'!F33)</f>
        <v/>
      </c>
      <c r="C7" s="58" t="str">
        <f>IF('Vereine - Clubs'!E33="","",'Vereine - Clubs'!E33)</f>
        <v/>
      </c>
      <c r="D7" s="58" t="str">
        <f t="shared" si="0"/>
        <v/>
      </c>
      <c r="E7" s="58" t="str">
        <f t="shared" si="0"/>
        <v/>
      </c>
      <c r="F7" s="58" t="str">
        <f t="shared" si="0"/>
        <v/>
      </c>
      <c r="G7" s="58" t="str">
        <f t="shared" si="0"/>
        <v/>
      </c>
      <c r="H7" s="58" t="str">
        <f t="shared" si="0"/>
        <v/>
      </c>
      <c r="I7" s="58" t="str">
        <f t="shared" si="0"/>
        <v/>
      </c>
      <c r="J7" s="58" t="str">
        <f t="shared" si="1"/>
        <v/>
      </c>
      <c r="K7" s="58" t="str">
        <f t="shared" si="2"/>
        <v/>
      </c>
      <c r="L7" s="58"/>
      <c r="M7" s="58"/>
      <c r="N7" s="58"/>
      <c r="O7" s="58"/>
      <c r="P7" s="58"/>
      <c r="Q7" s="58"/>
      <c r="R7" s="58"/>
      <c r="S7" s="58"/>
      <c r="T7" s="58"/>
      <c r="U7" s="58"/>
      <c r="V7" s="58"/>
      <c r="W7" s="58"/>
      <c r="X7" s="58"/>
      <c r="Y7" s="58"/>
      <c r="Z7" s="58"/>
      <c r="AA7" s="58"/>
      <c r="AB7" s="58" t="str">
        <f t="shared" si="3"/>
        <v/>
      </c>
      <c r="AC7" s="58"/>
      <c r="AD7" s="58"/>
      <c r="AE7" s="58"/>
      <c r="AF7" s="58"/>
      <c r="AG7" s="58" t="str">
        <f>IF('Vereine - Clubs'!G33="","",IFERROR(IF(VLOOKUP('Vereine - Clubs'!G33,'Vereine - Clubs'!$G$6:$H$27,2,0)="",'Vereine - Clubs'!G33,VLOOKUP('Vereine - Clubs'!G33,'Vereine - Clubs'!$G$6:$H$27,2,0)),'Vereine - Clubs'!G33))</f>
        <v/>
      </c>
      <c r="AH7" s="58">
        <f t="shared" si="10"/>
        <v>999</v>
      </c>
      <c r="AI7" s="58" t="str">
        <f t="shared" si="11"/>
        <v/>
      </c>
      <c r="AJ7" s="58" t="str">
        <f t="shared" si="12"/>
        <v/>
      </c>
      <c r="AK7" s="58" t="str">
        <f t="shared" si="13"/>
        <v/>
      </c>
      <c r="AL7" s="58" t="str">
        <f t="shared" ref="AL7:AL10" si="14">IF($A$6="","",IF($A$6&lt;1000,$A$6,""))</f>
        <v/>
      </c>
      <c r="AM7" s="58" t="str">
        <f t="shared" si="7"/>
        <v/>
      </c>
      <c r="AN7" s="58" t="str">
        <f t="shared" si="8"/>
        <v/>
      </c>
      <c r="AO7" s="58" t="str">
        <f t="shared" si="9"/>
        <v/>
      </c>
      <c r="AP7" s="58"/>
    </row>
    <row r="8" spans="1:44" x14ac:dyDescent="0.3">
      <c r="A8" s="59" t="str">
        <f>IF('Vereine - Clubs'!C34="","",'Vereine - Clubs'!C34)</f>
        <v/>
      </c>
      <c r="B8" s="58" t="str">
        <f>IF('Vereine - Clubs'!F34="","",'Vereine - Clubs'!F34)</f>
        <v/>
      </c>
      <c r="C8" s="58" t="str">
        <f>IF('Vereine - Clubs'!E34="","",'Vereine - Clubs'!E34)</f>
        <v/>
      </c>
      <c r="D8" s="58" t="str">
        <f t="shared" si="0"/>
        <v/>
      </c>
      <c r="E8" s="58" t="str">
        <f t="shared" si="0"/>
        <v/>
      </c>
      <c r="F8" s="58" t="str">
        <f t="shared" si="0"/>
        <v/>
      </c>
      <c r="G8" s="58" t="str">
        <f t="shared" si="0"/>
        <v/>
      </c>
      <c r="H8" s="58" t="str">
        <f t="shared" si="0"/>
        <v/>
      </c>
      <c r="I8" s="58" t="str">
        <f t="shared" si="0"/>
        <v/>
      </c>
      <c r="J8" s="58" t="str">
        <f t="shared" si="1"/>
        <v/>
      </c>
      <c r="K8" s="58" t="str">
        <f t="shared" si="2"/>
        <v/>
      </c>
      <c r="L8" s="58"/>
      <c r="M8" s="58"/>
      <c r="N8" s="58"/>
      <c r="O8" s="58"/>
      <c r="P8" s="58"/>
      <c r="Q8" s="58"/>
      <c r="R8" s="58"/>
      <c r="S8" s="58"/>
      <c r="T8" s="58"/>
      <c r="U8" s="58"/>
      <c r="V8" s="58"/>
      <c r="W8" s="58"/>
      <c r="X8" s="58"/>
      <c r="Y8" s="58"/>
      <c r="Z8" s="58"/>
      <c r="AA8" s="58"/>
      <c r="AB8" s="58" t="str">
        <f t="shared" si="3"/>
        <v/>
      </c>
      <c r="AC8" s="58"/>
      <c r="AD8" s="58"/>
      <c r="AE8" s="58"/>
      <c r="AF8" s="58"/>
      <c r="AG8" s="58" t="str">
        <f>IF('Vereine - Clubs'!G34="","",IFERROR(IF(VLOOKUP('Vereine - Clubs'!G34,'Vereine - Clubs'!$G$6:$H$27,2,0)="",'Vereine - Clubs'!G34,VLOOKUP('Vereine - Clubs'!G34,'Vereine - Clubs'!$G$6:$H$27,2,0)),'Vereine - Clubs'!G34))</f>
        <v/>
      </c>
      <c r="AH8" s="58">
        <f t="shared" si="10"/>
        <v>999</v>
      </c>
      <c r="AI8" s="58" t="str">
        <f t="shared" si="11"/>
        <v/>
      </c>
      <c r="AJ8" s="58" t="str">
        <f t="shared" si="12"/>
        <v/>
      </c>
      <c r="AK8" s="58" t="str">
        <f t="shared" si="13"/>
        <v/>
      </c>
      <c r="AL8" s="58" t="str">
        <f t="shared" si="14"/>
        <v/>
      </c>
      <c r="AM8" s="58" t="str">
        <f t="shared" ref="AM8:AM10" si="15">IF($A$7="","",IF($A$7&lt;1000,$A$7,""))</f>
        <v/>
      </c>
      <c r="AN8" s="58" t="str">
        <f t="shared" si="8"/>
        <v/>
      </c>
      <c r="AO8" s="58" t="str">
        <f t="shared" si="9"/>
        <v/>
      </c>
      <c r="AP8" s="58"/>
    </row>
    <row r="9" spans="1:44" x14ac:dyDescent="0.3">
      <c r="A9" s="59" t="str">
        <f>IF('Vereine - Clubs'!C35="","",'Vereine - Clubs'!C35)</f>
        <v/>
      </c>
      <c r="B9" s="58" t="str">
        <f>IF('Vereine - Clubs'!F35="","",'Vereine - Clubs'!F35)</f>
        <v/>
      </c>
      <c r="C9" s="58" t="str">
        <f>IF('Vereine - Clubs'!E35="","",'Vereine - Clubs'!E35)</f>
        <v/>
      </c>
      <c r="D9" s="58" t="str">
        <f t="shared" si="0"/>
        <v/>
      </c>
      <c r="E9" s="58" t="str">
        <f t="shared" si="0"/>
        <v/>
      </c>
      <c r="F9" s="58" t="str">
        <f t="shared" si="0"/>
        <v/>
      </c>
      <c r="G9" s="58" t="str">
        <f t="shared" si="0"/>
        <v/>
      </c>
      <c r="H9" s="58" t="str">
        <f t="shared" si="0"/>
        <v/>
      </c>
      <c r="I9" s="58" t="str">
        <f t="shared" si="0"/>
        <v/>
      </c>
      <c r="J9" s="58" t="str">
        <f t="shared" si="1"/>
        <v/>
      </c>
      <c r="K9" s="58" t="str">
        <f t="shared" si="2"/>
        <v/>
      </c>
      <c r="L9" s="58"/>
      <c r="M9" s="58"/>
      <c r="N9" s="58"/>
      <c r="O9" s="58"/>
      <c r="P9" s="58"/>
      <c r="Q9" s="58"/>
      <c r="R9" s="58"/>
      <c r="S9" s="58"/>
      <c r="T9" s="58"/>
      <c r="U9" s="58"/>
      <c r="V9" s="58"/>
      <c r="W9" s="58"/>
      <c r="X9" s="58"/>
      <c r="Y9" s="58"/>
      <c r="Z9" s="58"/>
      <c r="AA9" s="58"/>
      <c r="AB9" s="58" t="str">
        <f t="shared" si="3"/>
        <v/>
      </c>
      <c r="AC9" s="58"/>
      <c r="AD9" s="58"/>
      <c r="AE9" s="58"/>
      <c r="AF9" s="58"/>
      <c r="AG9" s="58" t="str">
        <f>IF('Vereine - Clubs'!G35="","",IFERROR(IF(VLOOKUP('Vereine - Clubs'!G35,'Vereine - Clubs'!$G$6:$H$27,2,0)="",'Vereine - Clubs'!G35,VLOOKUP('Vereine - Clubs'!G35,'Vereine - Clubs'!$G$6:$H$27,2,0)),'Vereine - Clubs'!G35))</f>
        <v/>
      </c>
      <c r="AH9" s="58">
        <f t="shared" si="10"/>
        <v>999</v>
      </c>
      <c r="AI9" s="58" t="str">
        <f t="shared" si="11"/>
        <v/>
      </c>
      <c r="AJ9" s="58" t="str">
        <f t="shared" si="12"/>
        <v/>
      </c>
      <c r="AK9" s="58" t="str">
        <f t="shared" si="13"/>
        <v/>
      </c>
      <c r="AL9" s="58" t="str">
        <f t="shared" si="14"/>
        <v/>
      </c>
      <c r="AM9" s="58" t="str">
        <f t="shared" si="15"/>
        <v/>
      </c>
      <c r="AN9" s="58" t="str">
        <f t="shared" ref="AN9:AN10" si="16">IF($A$8="","",IF($A$8&lt;1000,$A$8,""))</f>
        <v/>
      </c>
      <c r="AO9" s="58" t="str">
        <f t="shared" si="9"/>
        <v/>
      </c>
      <c r="AP9" s="58"/>
    </row>
    <row r="10" spans="1:44" x14ac:dyDescent="0.3">
      <c r="A10" s="59" t="str">
        <f>IF('Vereine - Clubs'!C36="","",'Vereine - Clubs'!C36)</f>
        <v/>
      </c>
      <c r="B10" s="58" t="str">
        <f>IF('Vereine - Clubs'!F36="","",'Vereine - Clubs'!F36)</f>
        <v/>
      </c>
      <c r="C10" s="58" t="str">
        <f>IF('Vereine - Clubs'!E36="","",'Vereine - Clubs'!E36)</f>
        <v/>
      </c>
      <c r="D10" s="58" t="str">
        <f t="shared" si="0"/>
        <v/>
      </c>
      <c r="E10" s="58" t="str">
        <f t="shared" si="0"/>
        <v/>
      </c>
      <c r="F10" s="58" t="str">
        <f t="shared" si="0"/>
        <v/>
      </c>
      <c r="G10" s="58" t="str">
        <f t="shared" si="0"/>
        <v/>
      </c>
      <c r="H10" s="58" t="str">
        <f t="shared" si="0"/>
        <v/>
      </c>
      <c r="I10" s="58" t="str">
        <f t="shared" si="0"/>
        <v/>
      </c>
      <c r="J10" s="58" t="str">
        <f t="shared" si="1"/>
        <v/>
      </c>
      <c r="K10" s="58" t="str">
        <f t="shared" si="2"/>
        <v/>
      </c>
      <c r="L10" s="58"/>
      <c r="M10" s="58"/>
      <c r="N10" s="58"/>
      <c r="O10" s="58"/>
      <c r="P10" s="58"/>
      <c r="Q10" s="58"/>
      <c r="R10" s="58"/>
      <c r="S10" s="58"/>
      <c r="T10" s="58"/>
      <c r="U10" s="58"/>
      <c r="V10" s="58"/>
      <c r="W10" s="58"/>
      <c r="X10" s="58"/>
      <c r="Y10" s="58"/>
      <c r="Z10" s="58"/>
      <c r="AA10" s="58"/>
      <c r="AB10" s="58" t="str">
        <f t="shared" si="3"/>
        <v/>
      </c>
      <c r="AC10" s="58"/>
      <c r="AD10" s="58"/>
      <c r="AE10" s="58"/>
      <c r="AF10" s="58"/>
      <c r="AG10" s="58" t="str">
        <f>IF('Vereine - Clubs'!G36="","",IFERROR(IF(VLOOKUP('Vereine - Clubs'!G36,'Vereine - Clubs'!$G$6:$H$27,2,0)="",'Vereine - Clubs'!G36,VLOOKUP('Vereine - Clubs'!G36,'Vereine - Clubs'!$G$6:$H$27,2,0)),'Vereine - Clubs'!G36))</f>
        <v/>
      </c>
      <c r="AH10" s="58">
        <f t="shared" si="10"/>
        <v>999</v>
      </c>
      <c r="AI10" s="58" t="str">
        <f t="shared" si="11"/>
        <v/>
      </c>
      <c r="AJ10" s="58" t="str">
        <f t="shared" si="12"/>
        <v/>
      </c>
      <c r="AK10" s="58" t="str">
        <f t="shared" si="13"/>
        <v/>
      </c>
      <c r="AL10" s="58" t="str">
        <f t="shared" si="14"/>
        <v/>
      </c>
      <c r="AM10" s="58" t="str">
        <f t="shared" si="15"/>
        <v/>
      </c>
      <c r="AN10" s="58" t="str">
        <f t="shared" si="16"/>
        <v/>
      </c>
      <c r="AO10" s="58" t="str">
        <f>IF($A$9="","",IF($A$9&lt;1000,$A$9,""))</f>
        <v/>
      </c>
      <c r="AP10" s="58"/>
    </row>
    <row r="11" spans="1:44" s="30" customFormat="1" x14ac:dyDescent="0.3">
      <c r="A11" s="71" t="s">
        <v>138</v>
      </c>
      <c r="B11" s="30">
        <v>12</v>
      </c>
      <c r="D11" s="30">
        <v>5</v>
      </c>
      <c r="E11" s="30">
        <v>6</v>
      </c>
      <c r="F11" s="30">
        <v>8</v>
      </c>
      <c r="G11" s="30">
        <v>9</v>
      </c>
      <c r="H11" s="30">
        <v>10</v>
      </c>
      <c r="I11" s="30">
        <v>7</v>
      </c>
      <c r="J11" s="30">
        <v>13</v>
      </c>
      <c r="K11" s="30">
        <v>15</v>
      </c>
      <c r="L11" s="30">
        <v>16</v>
      </c>
      <c r="M11" s="30">
        <v>10</v>
      </c>
      <c r="P11" s="30">
        <v>4</v>
      </c>
      <c r="Q11" s="30">
        <v>5</v>
      </c>
      <c r="S11" s="30">
        <v>8</v>
      </c>
      <c r="T11" s="30">
        <v>9</v>
      </c>
      <c r="U11" s="30">
        <v>6</v>
      </c>
      <c r="AD11" s="30">
        <v>19</v>
      </c>
      <c r="AE11" s="30">
        <v>20</v>
      </c>
      <c r="AO11" s="30">
        <v>22</v>
      </c>
      <c r="AP11" s="30">
        <v>23</v>
      </c>
    </row>
    <row r="12" spans="1:44" x14ac:dyDescent="0.3">
      <c r="A12" s="84" t="s">
        <v>33</v>
      </c>
      <c r="B12" s="84"/>
      <c r="C12" s="84"/>
      <c r="D12" s="84"/>
      <c r="E12" s="84"/>
      <c r="F12" s="84"/>
      <c r="G12" s="84"/>
      <c r="H12" s="84"/>
      <c r="I12" s="84"/>
      <c r="J12" s="84"/>
      <c r="K12" s="84"/>
      <c r="L12" s="84"/>
      <c r="M12" s="84"/>
      <c r="N12" s="17"/>
      <c r="O12" s="136" t="s">
        <v>47</v>
      </c>
      <c r="P12" s="136"/>
      <c r="Q12" s="136"/>
      <c r="R12" s="136"/>
      <c r="S12" s="136"/>
      <c r="T12" s="136"/>
      <c r="U12" s="136"/>
      <c r="V12" s="136"/>
      <c r="W12" s="17"/>
      <c r="X12" s="136" t="s">
        <v>49</v>
      </c>
      <c r="Y12" s="136"/>
      <c r="Z12" s="136"/>
      <c r="AA12" s="136"/>
      <c r="AB12" s="136"/>
      <c r="AC12" s="136"/>
      <c r="AD12" s="136"/>
      <c r="AE12" s="136"/>
      <c r="AF12" s="136"/>
      <c r="AG12" s="136"/>
      <c r="AH12" s="17"/>
      <c r="AI12" s="136" t="s">
        <v>51</v>
      </c>
      <c r="AJ12" s="136"/>
      <c r="AK12" s="136"/>
      <c r="AL12" s="136"/>
      <c r="AM12" s="136"/>
      <c r="AN12" s="136"/>
      <c r="AO12" s="136"/>
      <c r="AP12" s="136"/>
      <c r="AQ12" s="136"/>
      <c r="AR12" s="136"/>
    </row>
    <row r="13" spans="1:44" x14ac:dyDescent="0.3">
      <c r="A13" s="18" t="s">
        <v>38</v>
      </c>
      <c r="B13" s="18" t="s">
        <v>58</v>
      </c>
      <c r="C13" s="18" t="s">
        <v>6</v>
      </c>
      <c r="D13" s="18" t="s">
        <v>0</v>
      </c>
      <c r="E13" s="18" t="s">
        <v>1</v>
      </c>
      <c r="F13" s="18" t="s">
        <v>2</v>
      </c>
      <c r="G13" s="18" t="s">
        <v>37</v>
      </c>
      <c r="H13" s="18" t="s">
        <v>44</v>
      </c>
      <c r="I13" s="18" t="s">
        <v>45</v>
      </c>
      <c r="J13" s="18" t="s">
        <v>135</v>
      </c>
      <c r="K13" s="18" t="s">
        <v>118</v>
      </c>
      <c r="L13" s="18" t="s">
        <v>117</v>
      </c>
      <c r="M13" s="18" t="s">
        <v>119</v>
      </c>
      <c r="N13" s="17"/>
      <c r="O13" s="18" t="s">
        <v>38</v>
      </c>
      <c r="P13" s="18" t="s">
        <v>0</v>
      </c>
      <c r="Q13" s="18" t="s">
        <v>1</v>
      </c>
      <c r="R13" s="18" t="s">
        <v>6</v>
      </c>
      <c r="S13" s="18" t="s">
        <v>37</v>
      </c>
      <c r="T13" s="18" t="s">
        <v>44</v>
      </c>
      <c r="U13" s="18" t="s">
        <v>45</v>
      </c>
      <c r="V13" s="18" t="s">
        <v>48</v>
      </c>
      <c r="W13" s="17"/>
      <c r="X13" s="18" t="s">
        <v>38</v>
      </c>
      <c r="Y13" s="18" t="s">
        <v>7</v>
      </c>
      <c r="Z13" s="18" t="s">
        <v>6</v>
      </c>
      <c r="AA13" s="18" t="s">
        <v>38</v>
      </c>
      <c r="AB13" s="18" t="s">
        <v>7</v>
      </c>
      <c r="AC13" s="18" t="s">
        <v>6</v>
      </c>
      <c r="AD13" s="18" t="s">
        <v>37</v>
      </c>
      <c r="AE13" s="18" t="s">
        <v>44</v>
      </c>
      <c r="AF13" s="18" t="s">
        <v>50</v>
      </c>
      <c r="AG13" s="18" t="s">
        <v>48</v>
      </c>
      <c r="AH13" s="17"/>
      <c r="AI13" s="18" t="s">
        <v>38</v>
      </c>
      <c r="AJ13" s="18" t="s">
        <v>7</v>
      </c>
      <c r="AK13" s="18" t="s">
        <v>6</v>
      </c>
      <c r="AL13" s="18" t="s">
        <v>38</v>
      </c>
      <c r="AM13" s="18" t="s">
        <v>7</v>
      </c>
      <c r="AN13" s="18" t="s">
        <v>6</v>
      </c>
      <c r="AO13" s="18" t="s">
        <v>37</v>
      </c>
      <c r="AP13" s="18" t="s">
        <v>44</v>
      </c>
      <c r="AQ13" s="18" t="s">
        <v>50</v>
      </c>
      <c r="AR13" s="18" t="s">
        <v>48</v>
      </c>
    </row>
    <row r="14" spans="1:44" x14ac:dyDescent="0.3">
      <c r="A14" s="3"/>
      <c r="B14" s="3"/>
      <c r="C14" s="3"/>
      <c r="D14" s="3"/>
      <c r="E14" s="3"/>
      <c r="F14" s="3"/>
      <c r="G14" s="3"/>
      <c r="H14" s="3"/>
      <c r="I14" s="3"/>
      <c r="J14" s="3"/>
      <c r="K14" s="3"/>
      <c r="L14" s="3"/>
      <c r="M14" s="3"/>
      <c r="N14" s="17"/>
      <c r="W14" s="17"/>
      <c r="AH14" s="17"/>
    </row>
    <row r="15" spans="1:44" x14ac:dyDescent="0.3">
      <c r="A15" s="1" t="str">
        <f>IF(ISERROR(SMALL('Teilnehmende - Starters'!$C$81:$C$156,ROW(A1))),"",SMALL('Teilnehmende - Starters'!$C$81:$C$156,ROW(A1)))</f>
        <v/>
      </c>
      <c r="B15" s="1" t="str">
        <f>IF($A15="","",IF(VLOOKUP($A15,'Teilnehmende - Starters'!$C:$Z,B$11,0)="","",SUBSTITUTE(VLOOKUP($A15,'Teilnehmende - Starters'!$C:$Z,B$11,0)," ","")))</f>
        <v/>
      </c>
      <c r="C15" s="1" t="str">
        <f>IF(A15="","",VLOOKUP(INT(A15/100),'Vereine - Clubs'!$C:$H,4,0))</f>
        <v/>
      </c>
      <c r="D15" s="1" t="str">
        <f>IF($A15="","",IF(VLOOKUP($A15,'Teilnehmende - Starters'!$C:$Z,D$11,0)="","",
IF(RIGHT(VLOOKUP($A15,'Teilnehmende - Starters'!$C:$Z,D$11,0),1)=" ",LEFT(VLOOKUP($A15,'Teilnehmende - Starters'!$C:$Z,D$11,0),LEN(VLOOKUP($A15,'Teilnehmende - Starters'!$C:$Z,D$11,0))-1),
VLOOKUP($A15,'Teilnehmende - Starters'!$C:$Z,D$11,0))))</f>
        <v/>
      </c>
      <c r="E15" s="1" t="str">
        <f>IF($A15="","",IF(VLOOKUP($A15,'Teilnehmende - Starters'!$C:$Z,E$11,0)="","",
IF(RIGHT(VLOOKUP($A15,'Teilnehmende - Starters'!$C:$Z,E$11,0),1)=" ",LEFT(VLOOKUP($A15,'Teilnehmende - Starters'!$C:$Z,E$11,0),LEN(VLOOKUP($A15,'Teilnehmende - Starters'!$C:$Z,E$11,0))-1),
VLOOKUP($A15,'Teilnehmende - Starters'!$C:$Z,E$11,0))))</f>
        <v/>
      </c>
      <c r="F15" s="72" t="str">
        <f>IF($A15="","",IF(VLOOKUP($A15,'Teilnehmende - Starters'!$C:$Z,F$11,0)="","",VLOOKUP($A15,'Teilnehmende - Starters'!$C:$Z,F$11,0)))</f>
        <v/>
      </c>
      <c r="G15" s="1" t="str">
        <f>IF($A15="","",IF(VLOOKUP($A15,'Teilnehmende - Starters'!$C:$Z,G$11,0)="","",VLOOKUP($A15,'Teilnehmende - Starters'!$C:$Z,G$11,0)))</f>
        <v/>
      </c>
      <c r="H15" s="1" t="str">
        <f>IF($A15="","",IF(VLOOKUP($A15,'Teilnehmende - Starters'!$C:$Z,H$11,0)="","",VLOOKUP($A15,'Teilnehmende - Starters'!$C:$Z,H$11,0)))</f>
        <v/>
      </c>
      <c r="I15" s="1" t="str">
        <f>IF($A15="","",IF(VLOOKUP($A15,'Teilnehmende - Starters'!$C:$Z,I$11,0)="","",VLOOKUP($A15,'Teilnehmende - Starters'!$C:$Z,I$11,0)))</f>
        <v/>
      </c>
      <c r="J15" s="1" t="str">
        <f>IF($A15="","",IF(VLOOKUP($A15,'Teilnehmende - Starters'!$C:$Z,J$11,0)="","",VLOOKUP($A15,'Teilnehmende - Starters'!$C:$Z,J$11,0)))</f>
        <v/>
      </c>
      <c r="K15" s="1" t="str">
        <f>IF($A15="","",IF(VLOOKUP($A15,'Teilnehmende - Starters'!$C:$Z,K$11,0)="","",VLOOKUP($A15,'Teilnehmende - Starters'!$C:$Z,K$11,0)))</f>
        <v/>
      </c>
      <c r="L15" s="1" t="str">
        <f>IF($A15="","",IF(VLOOKUP($A15,'Teilnehmende - Starters'!$C:$Z,L$11,0)="","",VLOOKUP($A15,'Teilnehmende - Starters'!$C:$Z,L$11,0)))</f>
        <v/>
      </c>
      <c r="M15" s="1" t="str">
        <f>IF($A15="","",IF(VLOOKUP($A15,'Teilnehmende - Starters'!$C:$Z,M$11,0)="","",VLOOKUP($A15,'Teilnehmende - Starters'!$C:$Z,M$11,0)))</f>
        <v/>
      </c>
      <c r="N15" s="17"/>
      <c r="O15" s="1" t="str">
        <f>IF(ISERROR(SMALL('Teilnehmende - Starters'!$D$81:$D$156,ROW(A1))),"",SMALL('Teilnehmende - Starters'!$D$81:$D$156,ROW(A1)))</f>
        <v/>
      </c>
      <c r="P15" s="1" t="str">
        <f>IF($O15="","",IF(VLOOKUP($O15,'Teilnehmende - Starters'!$D:$Z,P$11,0)="","",
IF(RIGHT(VLOOKUP($O15,'Teilnehmende - Starters'!$D:$Z,P$11,0),1)=" ",LEFT(VLOOKUP($O15,'Teilnehmende - Starters'!$D:$Z,P$11,0),LEN(VLOOKUP($O15,'Teilnehmende - Starters'!$D:$Z,P$11,0))-1),
VLOOKUP($O15,'Teilnehmende - Starters'!$D:$Z,P$11,0))))</f>
        <v/>
      </c>
      <c r="Q15" s="1" t="str">
        <f>IF($O15="","",IF(VLOOKUP($O15,'Teilnehmende - Starters'!$D:$Z,Q$11,0)="","",
IF(RIGHT(VLOOKUP($O15,'Teilnehmende - Starters'!$D:$Z,Q$11,0),1)=" ",LEFT(VLOOKUP($O15,'Teilnehmende - Starters'!$D:$Z,Q$11,0),LEN(VLOOKUP($O15,'Teilnehmende - Starters'!$D:$Z,Q$11,0))-1),
VLOOKUP($O15,'Teilnehmende - Starters'!$D:$Z,Q$11,0))))</f>
        <v/>
      </c>
      <c r="R15" s="1" t="str">
        <f>IF($O15="","",VLOOKUP(O15,$A$15:$C$77,3,0))</f>
        <v/>
      </c>
      <c r="S15" s="1" t="str">
        <f>IF($O15="","",IF(VLOOKUP($O15,'Teilnehmende - Starters'!$D:$Z,S$11,0)="","",VLOOKUP($O15,'Teilnehmende - Starters'!$D:$Z,S$11,0)))</f>
        <v/>
      </c>
      <c r="T15" s="1" t="str">
        <f>IF($O15="","",IF(VLOOKUP($O15,'Teilnehmende - Starters'!$D:$Z,T$11,0)="","",VLOOKUP($O15,'Teilnehmende - Starters'!$D:$Z,T$11,0)))</f>
        <v/>
      </c>
      <c r="U15" s="1" t="str">
        <f>IF($O15="","",IF(VLOOKUP(O15,'Teilnehmende - Starters'!$C:$I,7,0)="w",IF(OR(S15=20,S15=19),"DE","ME"),IF(OR(S15=20,S15=19),"HE","JE")))</f>
        <v/>
      </c>
      <c r="V15" s="1" t="str">
        <f>IF($O15="","",1)</f>
        <v/>
      </c>
      <c r="W15" s="17"/>
      <c r="X15" s="1" t="str">
        <f>IF(ISERROR(SMALL('Teilnehmende - Starters'!$E$81:$E$156,ROW(A1))),"",SMALL('Teilnehmende - Starters'!$E$81:$E$156,ROW(A1)))</f>
        <v/>
      </c>
      <c r="Y15" s="1" t="str">
        <f>IF(X15="","",VLOOKUP(X15,'Teilnehmende - Starters'!$C:$Z,5,0)&amp;" "&amp;VLOOKUP(X15,'Teilnehmende - Starters'!$C:$Z,6,0))</f>
        <v/>
      </c>
      <c r="Z15" s="1" t="str">
        <f>IF(X15="","",VLOOKUP(X15,$A$15:$C$77,3,0))</f>
        <v/>
      </c>
      <c r="AA15" s="1" t="str">
        <f>IF(X15="","",IF(VLOOKUP(X15,'Teilnehmende - Starters'!$C:$Z,18,0)="Freimeldung",$A$2*100+99,VLOOKUP(Y15,'Teilnehmende - Starters'!$AA$5:$AD$80,4,FALSE)))</f>
        <v/>
      </c>
      <c r="AB15" s="1" t="str">
        <f>IF(AA15="","",IF(VLOOKUP(X15,'Teilnehmende - Starters'!$C:$Z,18,0)="Freimeldung","Freimeldung",VLOOKUP(AA15,$A$15:$E$77,4,0)&amp;" "&amp;VLOOKUP(AA15,$A$15:$E$77,5,0)))</f>
        <v/>
      </c>
      <c r="AC15" s="1" t="str">
        <f>IF(AA15="","",IF(VLOOKUP(X15,'Teilnehmende - Starters'!$C:$Z,18,0)="Freimeldung","",VLOOKUP(AA15,$A$15:$C$77,3,0)))</f>
        <v/>
      </c>
      <c r="AD15" s="1" t="str">
        <f>IF($X15="","",IF(VLOOKUP($X15,'Teilnehmende - Starters'!$C:$Z,AD$11,0)="","",VLOOKUP($X15,'Teilnehmende - Starters'!$C:$Z,AD$11,0)))</f>
        <v/>
      </c>
      <c r="AE15" s="1" t="str">
        <f>IF($X15="","",IF(VLOOKUP($X15,'Teilnehmende - Starters'!$C:$Z,AE$11,0)="","",VLOOKUP($X15,'Teilnehmende - Starters'!$C:$Z,AE$11,0)))</f>
        <v/>
      </c>
      <c r="AF15" s="1" t="str">
        <f>IF($X15="","",IF(VLOOKUP(X15,'Teilnehmende - Starters'!$C:$I,7,0)="w",IF(OR(AD15=20,AD15=19),"DD","MD"),IF(OR(AD15=20,AD15=19),"HD","JD")))</f>
        <v/>
      </c>
      <c r="AG15" s="1" t="str">
        <f>IF($X15="","",IF(AB15="Freimeldung",3,1))</f>
        <v/>
      </c>
      <c r="AH15" s="17"/>
      <c r="AI15" s="1" t="str">
        <f>IF(ISERROR(SMALL('Teilnehmende - Starters'!$F$81:$F$156,ROW(P1))),"",SMALL('Teilnehmende - Starters'!$F$81:$F$156,ROW(P1)))</f>
        <v/>
      </c>
      <c r="AJ15" s="1" t="str">
        <f>IF(AI15="","",VLOOKUP(AI15,'Teilnehmende - Starters'!$C:$Z,5,0)&amp;" "&amp;VLOOKUP(AI15,'Teilnehmende - Starters'!$C:$Z,6,0))</f>
        <v/>
      </c>
      <c r="AK15" s="1" t="str">
        <f>IF(AI15="","",VLOOKUP(AI15,$A$15:$C$77,3,0))</f>
        <v/>
      </c>
      <c r="AL15" s="1" t="str">
        <f>IF(AI15="","",IF(VLOOKUP(AI15,'Teilnehmende - Starters'!$C:$AN,21,0)="Freimeldung",$A$2*100+99,VLOOKUP(AJ15,'Teilnehmende - Starters'!$AB$5:$AD$80,3,FALSE)))</f>
        <v/>
      </c>
      <c r="AM15" s="1" t="str">
        <f>IF(AL15="","",IF(VLOOKUP(AI15,'Teilnehmende - Starters'!$C:$Z,21,0)="Freimeldung","Freimeldung",VLOOKUP(AL15,$A$15:$E$77,4,0)&amp;" "&amp;VLOOKUP(AL15,$A$15:$E$77,5,0)))</f>
        <v/>
      </c>
      <c r="AN15" s="1" t="str">
        <f>IF(AL15="","",IF(VLOOKUP(AI15,'Teilnehmende - Starters'!$C:$Z,21,0)="Freimeldung","",VLOOKUP(AL15,$A$15:$C$77,3,0)))</f>
        <v/>
      </c>
      <c r="AO15" s="1" t="str">
        <f>IF($AI15="","",IF(VLOOKUP($AI15,'Teilnehmende - Starters'!$C:$Z,AO$11,0)="","",VLOOKUP($AI15,'Teilnehmende - Starters'!$C:$Z,AO$11,0)))</f>
        <v/>
      </c>
      <c r="AP15" s="1" t="str">
        <f>IF($AI15="","",IF(VLOOKUP($AI15,'Teilnehmende - Starters'!$C:$Z,AP$11,0)="","",VLOOKUP($AI15,'Teilnehmende - Starters'!$C:$Z,AP$11,0)))</f>
        <v/>
      </c>
      <c r="AQ15" s="1" t="str">
        <f t="shared" ref="AQ15:AQ77" si="17">IF($AI15="","","MX")</f>
        <v/>
      </c>
      <c r="AR15" s="1" t="str">
        <f t="shared" ref="AR15" si="18">IF($AI15="","",IF(AM15="Freimeldung",3,1))</f>
        <v/>
      </c>
    </row>
    <row r="16" spans="1:44" x14ac:dyDescent="0.3">
      <c r="A16" s="1" t="str">
        <f>IF(ISERROR(SMALL('Teilnehmende - Starters'!$C$81:$C$156,ROW(A2))),"",SMALL('Teilnehmende - Starters'!$C$81:$C$156,ROW(A2)))</f>
        <v/>
      </c>
      <c r="B16" s="1" t="str">
        <f>IF($A16="","",IF(VLOOKUP($A16,'Teilnehmende - Starters'!$C:$Z,B$11,0)="","",SUBSTITUTE(VLOOKUP($A16,'Teilnehmende - Starters'!$C:$Z,B$11,0)," ","")))</f>
        <v/>
      </c>
      <c r="C16" s="1" t="str">
        <f>IF(A16="","",VLOOKUP(INT(A16/100),'Vereine - Clubs'!$C:$H,4,0))</f>
        <v/>
      </c>
      <c r="D16" s="1" t="str">
        <f>IF($A16="","",IF(VLOOKUP($A16,'Teilnehmende - Starters'!$C:$Z,D$11,0)="","",
IF(RIGHT(VLOOKUP($A16,'Teilnehmende - Starters'!$C:$Z,D$11,0),1)=" ",LEFT(VLOOKUP($A16,'Teilnehmende - Starters'!$C:$Z,D$11,0),LEN(VLOOKUP($A16,'Teilnehmende - Starters'!$C:$Z,D$11,0))-1),
VLOOKUP($A16,'Teilnehmende - Starters'!$C:$Z,D$11,0))))</f>
        <v/>
      </c>
      <c r="E16" s="1" t="str">
        <f>IF($A16="","",IF(VLOOKUP($A16,'Teilnehmende - Starters'!$C:$Z,E$11,0)="","",
IF(RIGHT(VLOOKUP($A16,'Teilnehmende - Starters'!$C:$Z,E$11,0),1)=" ",LEFT(VLOOKUP($A16,'Teilnehmende - Starters'!$C:$Z,E$11,0),LEN(VLOOKUP($A16,'Teilnehmende - Starters'!$C:$Z,E$11,0))-1),
VLOOKUP($A16,'Teilnehmende - Starters'!$C:$Z,E$11,0))))</f>
        <v/>
      </c>
      <c r="F16" s="72" t="str">
        <f>IF($A16="","",IF(VLOOKUP($A16,'Teilnehmende - Starters'!$C:$Z,F$11,0)="","",VLOOKUP($A16,'Teilnehmende - Starters'!$C:$Z,F$11,0)))</f>
        <v/>
      </c>
      <c r="G16" s="1" t="str">
        <f>IF($A16="","",IF(VLOOKUP($A16,'Teilnehmende - Starters'!$C:$Z,G$11,0)="","",VLOOKUP($A16,'Teilnehmende - Starters'!$C:$Z,G$11,0)))</f>
        <v/>
      </c>
      <c r="H16" s="1" t="str">
        <f>IF($A16="","",IF(VLOOKUP($A16,'Teilnehmende - Starters'!$C:$Z,H$11,0)="","",VLOOKUP($A16,'Teilnehmende - Starters'!$C:$Z,H$11,0)))</f>
        <v/>
      </c>
      <c r="I16" s="1" t="str">
        <f>IF($A16="","",IF(VLOOKUP($A16,'Teilnehmende - Starters'!$C:$Z,I$11,0)="","",VLOOKUP($A16,'Teilnehmende - Starters'!$C:$Z,I$11,0)))</f>
        <v/>
      </c>
      <c r="J16" s="1" t="str">
        <f>IF($A16="","",IF(VLOOKUP($A16,'Teilnehmende - Starters'!$C:$Z,J$11,0)="","",VLOOKUP($A16,'Teilnehmende - Starters'!$C:$Z,J$11,0)))</f>
        <v/>
      </c>
      <c r="K16" s="1" t="str">
        <f>IF($A16="","",IF(VLOOKUP($A16,'Teilnehmende - Starters'!$C:$Z,K$11,0)="","",VLOOKUP($A16,'Teilnehmende - Starters'!$C:$Z,K$11,0)))</f>
        <v/>
      </c>
      <c r="L16" s="1" t="str">
        <f>IF($A16="","",IF(VLOOKUP($A16,'Teilnehmende - Starters'!$C:$Z,L$11,0)="","",VLOOKUP($A16,'Teilnehmende - Starters'!$C:$Z,L$11,0)))</f>
        <v/>
      </c>
      <c r="M16" s="1" t="str">
        <f>IF($A16="","",IF(VLOOKUP($A16,'Teilnehmende - Starters'!$C:$Z,M$11,0)="","",VLOOKUP($A16,'Teilnehmende - Starters'!$C:$Z,M$11,0)))</f>
        <v/>
      </c>
      <c r="N16" s="17"/>
      <c r="O16" s="1" t="str">
        <f>IF(ISERROR(SMALL('Teilnehmende - Starters'!$D$81:$D$156,ROW(A2))),"",SMALL('Teilnehmende - Starters'!$D$81:$D$156,ROW(A2)))</f>
        <v/>
      </c>
      <c r="P16" s="1" t="str">
        <f>IF($O16="","",IF(VLOOKUP($O16,'Teilnehmende - Starters'!$D:$Z,P$11,0)="","",
IF(RIGHT(VLOOKUP($O16,'Teilnehmende - Starters'!$D:$Z,P$11,0),1)=" ",LEFT(VLOOKUP($O16,'Teilnehmende - Starters'!$D:$Z,P$11,0),LEN(VLOOKUP($O16,'Teilnehmende - Starters'!$D:$Z,P$11,0))-1),
VLOOKUP($O16,'Teilnehmende - Starters'!$D:$Z,P$11,0))))</f>
        <v/>
      </c>
      <c r="Q16" s="1" t="str">
        <f>IF($O16="","",IF(VLOOKUP($O16,'Teilnehmende - Starters'!$D:$Z,Q$11,0)="","",
IF(RIGHT(VLOOKUP($O16,'Teilnehmende - Starters'!$D:$Z,Q$11,0),1)=" ",LEFT(VLOOKUP($O16,'Teilnehmende - Starters'!$D:$Z,Q$11,0),LEN(VLOOKUP($O16,'Teilnehmende - Starters'!$D:$Z,Q$11,0))-1),
VLOOKUP($O16,'Teilnehmende - Starters'!$D:$Z,Q$11,0))))</f>
        <v/>
      </c>
      <c r="R16" s="1" t="str">
        <f t="shared" ref="R16:R77" si="19">IF($O16="","",VLOOKUP(O16,$A$15:$C$77,3,0))</f>
        <v/>
      </c>
      <c r="S16" s="1" t="str">
        <f>IF($O16="","",IF(VLOOKUP($O16,'Teilnehmende - Starters'!$D:$Z,S$11,0)="","",VLOOKUP($O16,'Teilnehmende - Starters'!$D:$Z,S$11,0)))</f>
        <v/>
      </c>
      <c r="T16" s="1" t="str">
        <f>IF($O16="","",IF(VLOOKUP($O16,'Teilnehmende - Starters'!$D:$Z,T$11,0)="","",VLOOKUP($O16,'Teilnehmende - Starters'!$D:$Z,T$11,0)))</f>
        <v/>
      </c>
      <c r="U16" s="1" t="str">
        <f>IF($O16="","",IF(VLOOKUP(O16,'Teilnehmende - Starters'!$C:$I,7,0)="w",IF(OR(S16=20,S16=19),"DE","ME"),IF(OR(S16=20,S16=19),"HE","JE")))</f>
        <v/>
      </c>
      <c r="V16" s="1" t="str">
        <f t="shared" ref="V16:V77" si="20">IF($O16="","",1)</f>
        <v/>
      </c>
      <c r="W16" s="17"/>
      <c r="X16" s="1" t="str">
        <f>IF(ISERROR(SMALL('Teilnehmende - Starters'!$E$81:$E$156,ROW(A2))),"",SMALL('Teilnehmende - Starters'!$E$81:$E$156,ROW(A2)))</f>
        <v/>
      </c>
      <c r="Y16" s="1" t="str">
        <f>IF(X16="","",VLOOKUP(X16,'Teilnehmende - Starters'!$C:$Z,5,0)&amp;" "&amp;VLOOKUP(X16,'Teilnehmende - Starters'!$C:$Z,6,0))</f>
        <v/>
      </c>
      <c r="Z16" s="1" t="str">
        <f t="shared" ref="Z16:Z77" si="21">IF(X16="","",VLOOKUP(X16,$A$15:$C$77,3,0))</f>
        <v/>
      </c>
      <c r="AA16" s="1" t="str">
        <f>IF(X16="","",IF(VLOOKUP(X16,'Teilnehmende - Starters'!$C:$Z,18,0)="Freimeldung",$A$2*100+99,VLOOKUP(Y16,'Teilnehmende - Starters'!$AA$5:$AD$80,4,FALSE)))</f>
        <v/>
      </c>
      <c r="AB16" s="1" t="str">
        <f>IF(AA16="","",IF(VLOOKUP(X16,'Teilnehmende - Starters'!$C:$Z,18,0)="Freimeldung","Freimeldung",VLOOKUP(AA16,$A$15:$E$77,4,0)&amp;" "&amp;VLOOKUP(AA16,$A$15:$E$77,5,0)))</f>
        <v/>
      </c>
      <c r="AC16" s="1" t="str">
        <f>IF(AA16="","",IF(VLOOKUP(X16,'Teilnehmende - Starters'!$C:$Z,18,0)="Freimeldung","",VLOOKUP(AA16,$A$15:$C$77,3,0)))</f>
        <v/>
      </c>
      <c r="AD16" s="1" t="str">
        <f>IF($X16="","",IF(VLOOKUP($X16,'Teilnehmende - Starters'!$C:$Z,AD$11,0)="","",VLOOKUP($X16,'Teilnehmende - Starters'!$C:$Z,AD$11,0)))</f>
        <v/>
      </c>
      <c r="AE16" s="1" t="str">
        <f>IF($X16="","",IF(VLOOKUP($X16,'Teilnehmende - Starters'!$C:$Z,AE$11,0)="","",VLOOKUP($X16,'Teilnehmende - Starters'!$C:$Z,AE$11,0)))</f>
        <v/>
      </c>
      <c r="AF16" s="1" t="str">
        <f>IF($X16="","",IF(VLOOKUP(X16,'Teilnehmende - Starters'!$C:$I,7,0)="w",IF(OR(AD16=20,AD16=19),"DD","MD"),IF(OR(AD16=20,AD16=19),"HD","JD")))</f>
        <v/>
      </c>
      <c r="AG16" s="1" t="str">
        <f t="shared" ref="AG16:AG77" si="22">IF($X16="","",IF(AB16="Freimeldung",3,1))</f>
        <v/>
      </c>
      <c r="AH16" s="17"/>
      <c r="AI16" s="1" t="str">
        <f>IF(ISERROR(SMALL('Teilnehmende - Starters'!$F$81:$F$156,ROW(P2))),"",SMALL('Teilnehmende - Starters'!$F$81:$F$156,ROW(P2)))</f>
        <v/>
      </c>
      <c r="AJ16" s="1" t="str">
        <f>IF(AI16="","",VLOOKUP(AI16,'Teilnehmende - Starters'!$C:$Z,5,0)&amp;" "&amp;VLOOKUP(AI16,'Teilnehmende - Starters'!$C:$Z,6,0))</f>
        <v/>
      </c>
      <c r="AK16" s="1" t="str">
        <f t="shared" ref="AK16:AK77" si="23">IF(AI16="","",VLOOKUP(AI16,$A$15:$C$77,3,0))</f>
        <v/>
      </c>
      <c r="AL16" s="1" t="str">
        <f>IF(AI16="","",IF(VLOOKUP(AI16,'Teilnehmende - Starters'!$C:$AN,21,0)="Freimeldung",$A$2*100+99,VLOOKUP(AJ16,'Teilnehmende - Starters'!$AB$5:$AD$80,3,FALSE)))</f>
        <v/>
      </c>
      <c r="AM16" s="1" t="str">
        <f>IF(AL16="","",IF(VLOOKUP(AI16,'Teilnehmende - Starters'!$C:$Z,21,0)="Freimeldung","Freimeldung",VLOOKUP(AL16,$A$15:$E$77,4,0)&amp;" "&amp;VLOOKUP(AL16,$A$15:$E$77,5,0)))</f>
        <v/>
      </c>
      <c r="AN16" s="1" t="str">
        <f>IF(AL16="","",IF(VLOOKUP(AI16,'Teilnehmende - Starters'!$C:$Z,21,0)="Freimeldung","",VLOOKUP(AL16,$A$15:$C$77,3,0)))</f>
        <v/>
      </c>
      <c r="AO16" s="1" t="str">
        <f>IF($AI16="","",IF(VLOOKUP($AI16,'Teilnehmende - Starters'!$C:$Z,AO$11,0)="","",VLOOKUP($AI16,'Teilnehmende - Starters'!$C:$Z,AO$11,0)))</f>
        <v/>
      </c>
      <c r="AP16" s="1" t="str">
        <f>IF($AI16="","",IF(VLOOKUP($AI16,'Teilnehmende - Starters'!$C:$Z,AP$11,0)="","",VLOOKUP($AI16,'Teilnehmende - Starters'!$C:$Z,AP$11,0)))</f>
        <v/>
      </c>
      <c r="AQ16" s="1" t="str">
        <f t="shared" si="17"/>
        <v/>
      </c>
      <c r="AR16" s="1" t="str">
        <f t="shared" ref="AR16:AR77" si="24">IF($AI16="","",IF(AM16="Freimeldung",3,1))</f>
        <v/>
      </c>
    </row>
    <row r="17" spans="1:44" x14ac:dyDescent="0.3">
      <c r="A17" s="1" t="str">
        <f>IF(ISERROR(SMALL('Teilnehmende - Starters'!$C$81:$C$156,ROW(A3))),"",SMALL('Teilnehmende - Starters'!$C$81:$C$156,ROW(A3)))</f>
        <v/>
      </c>
      <c r="B17" s="1" t="str">
        <f>IF($A17="","",IF(VLOOKUP($A17,'Teilnehmende - Starters'!$C:$Z,B$11,0)="","",SUBSTITUTE(VLOOKUP($A17,'Teilnehmende - Starters'!$C:$Z,B$11,0)," ","")))</f>
        <v/>
      </c>
      <c r="C17" s="1" t="str">
        <f>IF(A17="","",VLOOKUP(INT(A17/100),'Vereine - Clubs'!$C:$H,4,0))</f>
        <v/>
      </c>
      <c r="D17" s="1" t="str">
        <f>IF($A17="","",IF(VLOOKUP($A17,'Teilnehmende - Starters'!$C:$Z,D$11,0)="","",
IF(RIGHT(VLOOKUP($A17,'Teilnehmende - Starters'!$C:$Z,D$11,0),1)=" ",LEFT(VLOOKUP($A17,'Teilnehmende - Starters'!$C:$Z,D$11,0),LEN(VLOOKUP($A17,'Teilnehmende - Starters'!$C:$Z,D$11,0))-1),
VLOOKUP($A17,'Teilnehmende - Starters'!$C:$Z,D$11,0))))</f>
        <v/>
      </c>
      <c r="E17" s="1" t="str">
        <f>IF($A17="","",IF(VLOOKUP($A17,'Teilnehmende - Starters'!$C:$Z,E$11,0)="","",
IF(RIGHT(VLOOKUP($A17,'Teilnehmende - Starters'!$C:$Z,E$11,0),1)=" ",LEFT(VLOOKUP($A17,'Teilnehmende - Starters'!$C:$Z,E$11,0),LEN(VLOOKUP($A17,'Teilnehmende - Starters'!$C:$Z,E$11,0))-1),
VLOOKUP($A17,'Teilnehmende - Starters'!$C:$Z,E$11,0))))</f>
        <v/>
      </c>
      <c r="F17" s="72" t="str">
        <f>IF($A17="","",IF(VLOOKUP($A17,'Teilnehmende - Starters'!$C:$Z,F$11,0)="","",VLOOKUP($A17,'Teilnehmende - Starters'!$C:$Z,F$11,0)))</f>
        <v/>
      </c>
      <c r="G17" s="1" t="str">
        <f>IF($A17="","",IF(VLOOKUP($A17,'Teilnehmende - Starters'!$C:$Z,G$11,0)="","",VLOOKUP($A17,'Teilnehmende - Starters'!$C:$Z,G$11,0)))</f>
        <v/>
      </c>
      <c r="H17" s="1" t="str">
        <f>IF($A17="","",IF(VLOOKUP($A17,'Teilnehmende - Starters'!$C:$Z,H$11,0)="","",VLOOKUP($A17,'Teilnehmende - Starters'!$C:$Z,H$11,0)))</f>
        <v/>
      </c>
      <c r="I17" s="1" t="str">
        <f>IF($A17="","",IF(VLOOKUP($A17,'Teilnehmende - Starters'!$C:$Z,I$11,0)="","",VLOOKUP($A17,'Teilnehmende - Starters'!$C:$Z,I$11,0)))</f>
        <v/>
      </c>
      <c r="J17" s="1" t="str">
        <f>IF($A17="","",IF(VLOOKUP($A17,'Teilnehmende - Starters'!$C:$Z,J$11,0)="","",VLOOKUP($A17,'Teilnehmende - Starters'!$C:$Z,J$11,0)))</f>
        <v/>
      </c>
      <c r="K17" s="1" t="str">
        <f>IF($A17="","",IF(VLOOKUP($A17,'Teilnehmende - Starters'!$C:$Z,K$11,0)="","",VLOOKUP($A17,'Teilnehmende - Starters'!$C:$Z,K$11,0)))</f>
        <v/>
      </c>
      <c r="L17" s="1" t="str">
        <f>IF($A17="","",IF(VLOOKUP($A17,'Teilnehmende - Starters'!$C:$Z,L$11,0)="","",VLOOKUP($A17,'Teilnehmende - Starters'!$C:$Z,L$11,0)))</f>
        <v/>
      </c>
      <c r="M17" s="1" t="str">
        <f>IF($A17="","",IF(VLOOKUP($A17,'Teilnehmende - Starters'!$C:$Z,M$11,0)="","",VLOOKUP($A17,'Teilnehmende - Starters'!$C:$Z,M$11,0)))</f>
        <v/>
      </c>
      <c r="N17" s="17"/>
      <c r="O17" s="1" t="str">
        <f>IF(ISERROR(SMALL('Teilnehmende - Starters'!$D$81:$D$156,ROW(A3))),"",SMALL('Teilnehmende - Starters'!$D$81:$D$156,ROW(A3)))</f>
        <v/>
      </c>
      <c r="P17" s="1" t="str">
        <f>IF($O17="","",IF(VLOOKUP($O17,'Teilnehmende - Starters'!$D:$Z,P$11,0)="","",
IF(RIGHT(VLOOKUP($O17,'Teilnehmende - Starters'!$D:$Z,P$11,0),1)=" ",LEFT(VLOOKUP($O17,'Teilnehmende - Starters'!$D:$Z,P$11,0),LEN(VLOOKUP($O17,'Teilnehmende - Starters'!$D:$Z,P$11,0))-1),
VLOOKUP($O17,'Teilnehmende - Starters'!$D:$Z,P$11,0))))</f>
        <v/>
      </c>
      <c r="Q17" s="1" t="str">
        <f>IF($O17="","",IF(VLOOKUP($O17,'Teilnehmende - Starters'!$D:$Z,Q$11,0)="","",
IF(RIGHT(VLOOKUP($O17,'Teilnehmende - Starters'!$D:$Z,Q$11,0),1)=" ",LEFT(VLOOKUP($O17,'Teilnehmende - Starters'!$D:$Z,Q$11,0),LEN(VLOOKUP($O17,'Teilnehmende - Starters'!$D:$Z,Q$11,0))-1),
VLOOKUP($O17,'Teilnehmende - Starters'!$D:$Z,Q$11,0))))</f>
        <v/>
      </c>
      <c r="R17" s="1" t="str">
        <f t="shared" si="19"/>
        <v/>
      </c>
      <c r="S17" s="1" t="str">
        <f>IF($O17="","",IF(VLOOKUP($O17,'Teilnehmende - Starters'!$D:$Z,S$11,0)="","",VLOOKUP($O17,'Teilnehmende - Starters'!$D:$Z,S$11,0)))</f>
        <v/>
      </c>
      <c r="T17" s="1" t="str">
        <f>IF($O17="","",IF(VLOOKUP($O17,'Teilnehmende - Starters'!$D:$Z,T$11,0)="","",VLOOKUP($O17,'Teilnehmende - Starters'!$D:$Z,T$11,0)))</f>
        <v/>
      </c>
      <c r="U17" s="1" t="str">
        <f>IF($O17="","",IF(VLOOKUP(O17,'Teilnehmende - Starters'!$C:$I,7,0)="w",IF(OR(S17=20,S17=19),"DE","ME"),IF(OR(S17=20,S17=19),"HE","JE")))</f>
        <v/>
      </c>
      <c r="V17" s="1" t="str">
        <f t="shared" si="20"/>
        <v/>
      </c>
      <c r="W17" s="17"/>
      <c r="X17" s="1" t="str">
        <f>IF(ISERROR(SMALL('Teilnehmende - Starters'!$E$81:$E$156,ROW(A3))),"",SMALL('Teilnehmende - Starters'!$E$81:$E$156,ROW(A3)))</f>
        <v/>
      </c>
      <c r="Y17" s="1" t="str">
        <f>IF(X17="","",VLOOKUP(X17,'Teilnehmende - Starters'!$C:$Z,5,0)&amp;" "&amp;VLOOKUP(X17,'Teilnehmende - Starters'!$C:$Z,6,0))</f>
        <v/>
      </c>
      <c r="Z17" s="1" t="str">
        <f t="shared" si="21"/>
        <v/>
      </c>
      <c r="AA17" s="1" t="str">
        <f>IF(X17="","",IF(VLOOKUP(X17,'Teilnehmende - Starters'!$C:$Z,18,0)="Freimeldung",$A$2*100+99,VLOOKUP(Y17,'Teilnehmende - Starters'!$AA$5:$AD$80,4,FALSE)))</f>
        <v/>
      </c>
      <c r="AB17" s="1" t="str">
        <f>IF(AA17="","",IF(VLOOKUP(X17,'Teilnehmende - Starters'!$C:$Z,18,0)="Freimeldung","Freimeldung",VLOOKUP(AA17,$A$15:$E$77,4,0)&amp;" "&amp;VLOOKUP(AA17,$A$15:$E$77,5,0)))</f>
        <v/>
      </c>
      <c r="AC17" s="1" t="str">
        <f>IF(AA17="","",IF(VLOOKUP(X17,'Teilnehmende - Starters'!$C:$Z,18,0)="Freimeldung","",VLOOKUP(AA17,$A$15:$C$77,3,0)))</f>
        <v/>
      </c>
      <c r="AD17" s="1" t="str">
        <f>IF($X17="","",IF(VLOOKUP($X17,'Teilnehmende - Starters'!$C:$Z,AD$11,0)="","",VLOOKUP($X17,'Teilnehmende - Starters'!$C:$Z,AD$11,0)))</f>
        <v/>
      </c>
      <c r="AE17" s="1" t="str">
        <f>IF($X17="","",IF(VLOOKUP($X17,'Teilnehmende - Starters'!$C:$Z,AE$11,0)="","",VLOOKUP($X17,'Teilnehmende - Starters'!$C:$Z,AE$11,0)))</f>
        <v/>
      </c>
      <c r="AF17" s="1" t="str">
        <f>IF($X17="","",IF(VLOOKUP(X17,'Teilnehmende - Starters'!$C:$I,7,0)="w",IF(OR(AD17=20,AD17=19),"DD","MD"),IF(OR(AD17=20,AD17=19),"HD","JD")))</f>
        <v/>
      </c>
      <c r="AG17" s="1" t="str">
        <f t="shared" si="22"/>
        <v/>
      </c>
      <c r="AH17" s="17"/>
      <c r="AI17" s="1" t="str">
        <f>IF(ISERROR(SMALL('Teilnehmende - Starters'!$F$81:$F$156,ROW(P3))),"",SMALL('Teilnehmende - Starters'!$F$81:$F$156,ROW(P3)))</f>
        <v/>
      </c>
      <c r="AJ17" s="1" t="str">
        <f>IF(AI17="","",VLOOKUP(AI17,'Teilnehmende - Starters'!$C:$Z,5,0)&amp;" "&amp;VLOOKUP(AI17,'Teilnehmende - Starters'!$C:$Z,6,0))</f>
        <v/>
      </c>
      <c r="AK17" s="1" t="str">
        <f t="shared" si="23"/>
        <v/>
      </c>
      <c r="AL17" s="1" t="str">
        <f>IF(AI17="","",IF(VLOOKUP(AI17,'Teilnehmende - Starters'!$C:$AN,21,0)="Freimeldung",$A$2*100+99,VLOOKUP(AJ17,'Teilnehmende - Starters'!$AB$5:$AD$80,3,FALSE)))</f>
        <v/>
      </c>
      <c r="AM17" s="1" t="str">
        <f>IF(AL17="","",IF(VLOOKUP(AI17,'Teilnehmende - Starters'!$C:$Z,21,0)="Freimeldung","Freimeldung",VLOOKUP(AL17,$A$15:$E$77,4,0)&amp;" "&amp;VLOOKUP(AL17,$A$15:$E$77,5,0)))</f>
        <v/>
      </c>
      <c r="AN17" s="1" t="str">
        <f>IF(AL17="","",IF(VLOOKUP(AI17,'Teilnehmende - Starters'!$C:$Z,21,0)="Freimeldung","",VLOOKUP(AL17,$A$15:$C$77,3,0)))</f>
        <v/>
      </c>
      <c r="AO17" s="1" t="str">
        <f>IF($AI17="","",IF(VLOOKUP($AI17,'Teilnehmende - Starters'!$C:$Z,AO$11,0)="","",VLOOKUP($AI17,'Teilnehmende - Starters'!$C:$Z,AO$11,0)))</f>
        <v/>
      </c>
      <c r="AP17" s="1" t="str">
        <f>IF($AI17="","",IF(VLOOKUP($AI17,'Teilnehmende - Starters'!$C:$Z,AP$11,0)="","",VLOOKUP($AI17,'Teilnehmende - Starters'!$C:$Z,AP$11,0)))</f>
        <v/>
      </c>
      <c r="AQ17" s="1" t="str">
        <f t="shared" si="17"/>
        <v/>
      </c>
      <c r="AR17" s="1" t="str">
        <f t="shared" si="24"/>
        <v/>
      </c>
    </row>
    <row r="18" spans="1:44" x14ac:dyDescent="0.3">
      <c r="A18" s="1" t="str">
        <f>IF(ISERROR(SMALL('Teilnehmende - Starters'!$C$81:$C$156,ROW(A4))),"",SMALL('Teilnehmende - Starters'!$C$81:$C$156,ROW(A4)))</f>
        <v/>
      </c>
      <c r="B18" s="1" t="str">
        <f>IF($A18="","",IF(VLOOKUP($A18,'Teilnehmende - Starters'!$C:$Z,B$11,0)="","",SUBSTITUTE(VLOOKUP($A18,'Teilnehmende - Starters'!$C:$Z,B$11,0)," ","")))</f>
        <v/>
      </c>
      <c r="C18" s="1" t="str">
        <f>IF(A18="","",VLOOKUP(INT(A18/100),'Vereine - Clubs'!$C:$H,4,0))</f>
        <v/>
      </c>
      <c r="D18" s="1" t="str">
        <f>IF($A18="","",IF(VLOOKUP($A18,'Teilnehmende - Starters'!$C:$Z,D$11,0)="","",
IF(RIGHT(VLOOKUP($A18,'Teilnehmende - Starters'!$C:$Z,D$11,0),1)=" ",LEFT(VLOOKUP($A18,'Teilnehmende - Starters'!$C:$Z,D$11,0),LEN(VLOOKUP($A18,'Teilnehmende - Starters'!$C:$Z,D$11,0))-1),
VLOOKUP($A18,'Teilnehmende - Starters'!$C:$Z,D$11,0))))</f>
        <v/>
      </c>
      <c r="E18" s="1" t="str">
        <f>IF($A18="","",IF(VLOOKUP($A18,'Teilnehmende - Starters'!$C:$Z,E$11,0)="","",
IF(RIGHT(VLOOKUP($A18,'Teilnehmende - Starters'!$C:$Z,E$11,0),1)=" ",LEFT(VLOOKUP($A18,'Teilnehmende - Starters'!$C:$Z,E$11,0),LEN(VLOOKUP($A18,'Teilnehmende - Starters'!$C:$Z,E$11,0))-1),
VLOOKUP($A18,'Teilnehmende - Starters'!$C:$Z,E$11,0))))</f>
        <v/>
      </c>
      <c r="F18" s="72" t="str">
        <f>IF($A18="","",IF(VLOOKUP($A18,'Teilnehmende - Starters'!$C:$Z,F$11,0)="","",VLOOKUP($A18,'Teilnehmende - Starters'!$C:$Z,F$11,0)))</f>
        <v/>
      </c>
      <c r="G18" s="1" t="str">
        <f>IF($A18="","",IF(VLOOKUP($A18,'Teilnehmende - Starters'!$C:$Z,G$11,0)="","",VLOOKUP($A18,'Teilnehmende - Starters'!$C:$Z,G$11,0)))</f>
        <v/>
      </c>
      <c r="H18" s="1" t="str">
        <f>IF($A18="","",IF(VLOOKUP($A18,'Teilnehmende - Starters'!$C:$Z,H$11,0)="","",VLOOKUP($A18,'Teilnehmende - Starters'!$C:$Z,H$11,0)))</f>
        <v/>
      </c>
      <c r="I18" s="1" t="str">
        <f>IF($A18="","",IF(VLOOKUP($A18,'Teilnehmende - Starters'!$C:$Z,I$11,0)="","",VLOOKUP($A18,'Teilnehmende - Starters'!$C:$Z,I$11,0)))</f>
        <v/>
      </c>
      <c r="J18" s="1" t="str">
        <f>IF($A18="","",IF(VLOOKUP($A18,'Teilnehmende - Starters'!$C:$Z,J$11,0)="","",VLOOKUP($A18,'Teilnehmende - Starters'!$C:$Z,J$11,0)))</f>
        <v/>
      </c>
      <c r="K18" s="1" t="str">
        <f>IF($A18="","",IF(VLOOKUP($A18,'Teilnehmende - Starters'!$C:$Z,K$11,0)="","",VLOOKUP($A18,'Teilnehmende - Starters'!$C:$Z,K$11,0)))</f>
        <v/>
      </c>
      <c r="L18" s="1" t="str">
        <f>IF($A18="","",IF(VLOOKUP($A18,'Teilnehmende - Starters'!$C:$Z,L$11,0)="","",VLOOKUP($A18,'Teilnehmende - Starters'!$C:$Z,L$11,0)))</f>
        <v/>
      </c>
      <c r="M18" s="1" t="str">
        <f>IF($A18="","",IF(VLOOKUP($A18,'Teilnehmende - Starters'!$C:$Z,M$11,0)="","",VLOOKUP($A18,'Teilnehmende - Starters'!$C:$Z,M$11,0)))</f>
        <v/>
      </c>
      <c r="N18" s="17"/>
      <c r="O18" s="1" t="str">
        <f>IF(ISERROR(SMALL('Teilnehmende - Starters'!$D$81:$D$156,ROW(A4))),"",SMALL('Teilnehmende - Starters'!$D$81:$D$156,ROW(A4)))</f>
        <v/>
      </c>
      <c r="P18" s="1" t="str">
        <f>IF($O18="","",IF(VLOOKUP($O18,'Teilnehmende - Starters'!$D:$Z,P$11,0)="","",
IF(RIGHT(VLOOKUP($O18,'Teilnehmende - Starters'!$D:$Z,P$11,0),1)=" ",LEFT(VLOOKUP($O18,'Teilnehmende - Starters'!$D:$Z,P$11,0),LEN(VLOOKUP($O18,'Teilnehmende - Starters'!$D:$Z,P$11,0))-1),
VLOOKUP($O18,'Teilnehmende - Starters'!$D:$Z,P$11,0))))</f>
        <v/>
      </c>
      <c r="Q18" s="1" t="str">
        <f>IF($O18="","",IF(VLOOKUP($O18,'Teilnehmende - Starters'!$D:$Z,Q$11,0)="","",
IF(RIGHT(VLOOKUP($O18,'Teilnehmende - Starters'!$D:$Z,Q$11,0),1)=" ",LEFT(VLOOKUP($O18,'Teilnehmende - Starters'!$D:$Z,Q$11,0),LEN(VLOOKUP($O18,'Teilnehmende - Starters'!$D:$Z,Q$11,0))-1),
VLOOKUP($O18,'Teilnehmende - Starters'!$D:$Z,Q$11,0))))</f>
        <v/>
      </c>
      <c r="R18" s="1" t="str">
        <f t="shared" si="19"/>
        <v/>
      </c>
      <c r="S18" s="1" t="str">
        <f>IF($O18="","",IF(VLOOKUP($O18,'Teilnehmende - Starters'!$D:$Z,S$11,0)="","",VLOOKUP($O18,'Teilnehmende - Starters'!$D:$Z,S$11,0)))</f>
        <v/>
      </c>
      <c r="T18" s="1" t="str">
        <f>IF($O18="","",IF(VLOOKUP($O18,'Teilnehmende - Starters'!$D:$Z,T$11,0)="","",VLOOKUP($O18,'Teilnehmende - Starters'!$D:$Z,T$11,0)))</f>
        <v/>
      </c>
      <c r="U18" s="1" t="str">
        <f>IF($O18="","",IF(VLOOKUP(O18,'Teilnehmende - Starters'!$C:$I,7,0)="w",IF(OR(S18=20,S18=19),"DE","ME"),IF(OR(S18=20,S18=19),"HE","JE")))</f>
        <v/>
      </c>
      <c r="V18" s="1" t="str">
        <f t="shared" si="20"/>
        <v/>
      </c>
      <c r="W18" s="17"/>
      <c r="X18" s="1" t="str">
        <f>IF(ISERROR(SMALL('Teilnehmende - Starters'!$E$81:$E$156,ROW(A4))),"",SMALL('Teilnehmende - Starters'!$E$81:$E$156,ROW(A4)))</f>
        <v/>
      </c>
      <c r="Y18" s="1" t="str">
        <f>IF(X18="","",VLOOKUP(X18,'Teilnehmende - Starters'!$C:$Z,5,0)&amp;" "&amp;VLOOKUP(X18,'Teilnehmende - Starters'!$C:$Z,6,0))</f>
        <v/>
      </c>
      <c r="Z18" s="1" t="str">
        <f t="shared" si="21"/>
        <v/>
      </c>
      <c r="AA18" s="1" t="str">
        <f>IF(X18="","",IF(VLOOKUP(X18,'Teilnehmende - Starters'!$C:$Z,18,0)="Freimeldung",$A$2*100+99,VLOOKUP(Y18,'Teilnehmende - Starters'!$AA$5:$AD$80,4,FALSE)))</f>
        <v/>
      </c>
      <c r="AB18" s="1" t="str">
        <f>IF(AA18="","",IF(VLOOKUP(X18,'Teilnehmende - Starters'!$C:$Z,18,0)="Freimeldung","Freimeldung",VLOOKUP(AA18,$A$15:$E$77,4,0)&amp;" "&amp;VLOOKUP(AA18,$A$15:$E$77,5,0)))</f>
        <v/>
      </c>
      <c r="AC18" s="1" t="str">
        <f>IF(AA18="","",IF(VLOOKUP(X18,'Teilnehmende - Starters'!$C:$Z,18,0)="Freimeldung","",VLOOKUP(AA18,$A$15:$C$77,3,0)))</f>
        <v/>
      </c>
      <c r="AD18" s="1" t="str">
        <f>IF($X18="","",IF(VLOOKUP($X18,'Teilnehmende - Starters'!$C:$Z,AD$11,0)="","",VLOOKUP($X18,'Teilnehmende - Starters'!$C:$Z,AD$11,0)))</f>
        <v/>
      </c>
      <c r="AE18" s="1" t="str">
        <f>IF($X18="","",IF(VLOOKUP($X18,'Teilnehmende - Starters'!$C:$Z,AE$11,0)="","",VLOOKUP($X18,'Teilnehmende - Starters'!$C:$Z,AE$11,0)))</f>
        <v/>
      </c>
      <c r="AF18" s="1" t="str">
        <f>IF($X18="","",IF(VLOOKUP(X18,'Teilnehmende - Starters'!$C:$I,7,0)="w",IF(OR(AD18=20,AD18=19),"DD","MD"),IF(OR(AD18=20,AD18=19),"HD","JD")))</f>
        <v/>
      </c>
      <c r="AG18" s="1" t="str">
        <f t="shared" si="22"/>
        <v/>
      </c>
      <c r="AH18" s="17"/>
      <c r="AI18" s="1" t="str">
        <f>IF(ISERROR(SMALL('Teilnehmende - Starters'!$F$81:$F$156,ROW(P4))),"",SMALL('Teilnehmende - Starters'!$F$81:$F$156,ROW(P4)))</f>
        <v/>
      </c>
      <c r="AJ18" s="1" t="str">
        <f>IF(AI18="","",VLOOKUP(AI18,'Teilnehmende - Starters'!$C:$Z,5,0)&amp;" "&amp;VLOOKUP(AI18,'Teilnehmende - Starters'!$C:$Z,6,0))</f>
        <v/>
      </c>
      <c r="AK18" s="1" t="str">
        <f t="shared" si="23"/>
        <v/>
      </c>
      <c r="AL18" s="1" t="str">
        <f>IF(AI18="","",IF(VLOOKUP(AI18,'Teilnehmende - Starters'!$C:$AN,21,0)="Freimeldung",$A$2*100+99,VLOOKUP(AJ18,'Teilnehmende - Starters'!$AB$5:$AD$80,3,FALSE)))</f>
        <v/>
      </c>
      <c r="AM18" s="1" t="str">
        <f>IF(AL18="","",IF(VLOOKUP(AI18,'Teilnehmende - Starters'!$C:$Z,21,0)="Freimeldung","Freimeldung",VLOOKUP(AL18,$A$15:$E$77,4,0)&amp;" "&amp;VLOOKUP(AL18,$A$15:$E$77,5,0)))</f>
        <v/>
      </c>
      <c r="AN18" s="1" t="str">
        <f>IF(AL18="","",IF(VLOOKUP(AI18,'Teilnehmende - Starters'!$C:$Z,21,0)="Freimeldung","",VLOOKUP(AL18,$A$15:$C$77,3,0)))</f>
        <v/>
      </c>
      <c r="AO18" s="1" t="str">
        <f>IF($AI18="","",IF(VLOOKUP($AI18,'Teilnehmende - Starters'!$C:$Z,AO$11,0)="","",VLOOKUP($AI18,'Teilnehmende - Starters'!$C:$Z,AO$11,0)))</f>
        <v/>
      </c>
      <c r="AP18" s="1" t="str">
        <f>IF($AI18="","",IF(VLOOKUP($AI18,'Teilnehmende - Starters'!$C:$Z,AP$11,0)="","",VLOOKUP($AI18,'Teilnehmende - Starters'!$C:$Z,AP$11,0)))</f>
        <v/>
      </c>
      <c r="AQ18" s="1" t="str">
        <f t="shared" si="17"/>
        <v/>
      </c>
      <c r="AR18" s="1" t="str">
        <f t="shared" si="24"/>
        <v/>
      </c>
    </row>
    <row r="19" spans="1:44" x14ac:dyDescent="0.3">
      <c r="A19" s="1" t="str">
        <f>IF(ISERROR(SMALL('Teilnehmende - Starters'!$C$81:$C$156,ROW(A5))),"",SMALL('Teilnehmende - Starters'!$C$81:$C$156,ROW(A5)))</f>
        <v/>
      </c>
      <c r="B19" s="1" t="str">
        <f>IF($A19="","",IF(VLOOKUP($A19,'Teilnehmende - Starters'!$C:$Z,B$11,0)="","",SUBSTITUTE(VLOOKUP($A19,'Teilnehmende - Starters'!$C:$Z,B$11,0)," ","")))</f>
        <v/>
      </c>
      <c r="C19" s="1" t="str">
        <f>IF(A19="","",VLOOKUP(INT(A19/100),'Vereine - Clubs'!$C:$H,4,0))</f>
        <v/>
      </c>
      <c r="D19" s="1" t="str">
        <f>IF($A19="","",IF(VLOOKUP($A19,'Teilnehmende - Starters'!$C:$Z,D$11,0)="","",
IF(RIGHT(VLOOKUP($A19,'Teilnehmende - Starters'!$C:$Z,D$11,0),1)=" ",LEFT(VLOOKUP($A19,'Teilnehmende - Starters'!$C:$Z,D$11,0),LEN(VLOOKUP($A19,'Teilnehmende - Starters'!$C:$Z,D$11,0))-1),
VLOOKUP($A19,'Teilnehmende - Starters'!$C:$Z,D$11,0))))</f>
        <v/>
      </c>
      <c r="E19" s="1" t="str">
        <f>IF($A19="","",IF(VLOOKUP($A19,'Teilnehmende - Starters'!$C:$Z,E$11,0)="","",
IF(RIGHT(VLOOKUP($A19,'Teilnehmende - Starters'!$C:$Z,E$11,0),1)=" ",LEFT(VLOOKUP($A19,'Teilnehmende - Starters'!$C:$Z,E$11,0),LEN(VLOOKUP($A19,'Teilnehmende - Starters'!$C:$Z,E$11,0))-1),
VLOOKUP($A19,'Teilnehmende - Starters'!$C:$Z,E$11,0))))</f>
        <v/>
      </c>
      <c r="F19" s="72" t="str">
        <f>IF($A19="","",IF(VLOOKUP($A19,'Teilnehmende - Starters'!$C:$Z,F$11,0)="","",VLOOKUP($A19,'Teilnehmende - Starters'!$C:$Z,F$11,0)))</f>
        <v/>
      </c>
      <c r="G19" s="1" t="str">
        <f>IF($A19="","",IF(VLOOKUP($A19,'Teilnehmende - Starters'!$C:$Z,G$11,0)="","",VLOOKUP($A19,'Teilnehmende - Starters'!$C:$Z,G$11,0)))</f>
        <v/>
      </c>
      <c r="H19" s="1" t="str">
        <f>IF($A19="","",IF(VLOOKUP($A19,'Teilnehmende - Starters'!$C:$Z,H$11,0)="","",VLOOKUP($A19,'Teilnehmende - Starters'!$C:$Z,H$11,0)))</f>
        <v/>
      </c>
      <c r="I19" s="1" t="str">
        <f>IF($A19="","",IF(VLOOKUP($A19,'Teilnehmende - Starters'!$C:$Z,I$11,0)="","",VLOOKUP($A19,'Teilnehmende - Starters'!$C:$Z,I$11,0)))</f>
        <v/>
      </c>
      <c r="J19" s="1" t="str">
        <f>IF($A19="","",IF(VLOOKUP($A19,'Teilnehmende - Starters'!$C:$Z,J$11,0)="","",VLOOKUP($A19,'Teilnehmende - Starters'!$C:$Z,J$11,0)))</f>
        <v/>
      </c>
      <c r="K19" s="1" t="str">
        <f>IF($A19="","",IF(VLOOKUP($A19,'Teilnehmende - Starters'!$C:$Z,K$11,0)="","",VLOOKUP($A19,'Teilnehmende - Starters'!$C:$Z,K$11,0)))</f>
        <v/>
      </c>
      <c r="L19" s="1" t="str">
        <f>IF($A19="","",IF(VLOOKUP($A19,'Teilnehmende - Starters'!$C:$Z,L$11,0)="","",VLOOKUP($A19,'Teilnehmende - Starters'!$C:$Z,L$11,0)))</f>
        <v/>
      </c>
      <c r="M19" s="1" t="str">
        <f>IF($A19="","",IF(VLOOKUP($A19,'Teilnehmende - Starters'!$C:$Z,M$11,0)="","",VLOOKUP($A19,'Teilnehmende - Starters'!$C:$Z,M$11,0)))</f>
        <v/>
      </c>
      <c r="N19" s="17"/>
      <c r="O19" s="1" t="str">
        <f>IF(ISERROR(SMALL('Teilnehmende - Starters'!$D$81:$D$156,ROW(A5))),"",SMALL('Teilnehmende - Starters'!$D$81:$D$156,ROW(A5)))</f>
        <v/>
      </c>
      <c r="P19" s="1" t="str">
        <f>IF($O19="","",IF(VLOOKUP($O19,'Teilnehmende - Starters'!$D:$Z,P$11,0)="","",
IF(RIGHT(VLOOKUP($O19,'Teilnehmende - Starters'!$D:$Z,P$11,0),1)=" ",LEFT(VLOOKUP($O19,'Teilnehmende - Starters'!$D:$Z,P$11,0),LEN(VLOOKUP($O19,'Teilnehmende - Starters'!$D:$Z,P$11,0))-1),
VLOOKUP($O19,'Teilnehmende - Starters'!$D:$Z,P$11,0))))</f>
        <v/>
      </c>
      <c r="Q19" s="1" t="str">
        <f>IF($O19="","",IF(VLOOKUP($O19,'Teilnehmende - Starters'!$D:$Z,Q$11,0)="","",
IF(RIGHT(VLOOKUP($O19,'Teilnehmende - Starters'!$D:$Z,Q$11,0),1)=" ",LEFT(VLOOKUP($O19,'Teilnehmende - Starters'!$D:$Z,Q$11,0),LEN(VLOOKUP($O19,'Teilnehmende - Starters'!$D:$Z,Q$11,0))-1),
VLOOKUP($O19,'Teilnehmende - Starters'!$D:$Z,Q$11,0))))</f>
        <v/>
      </c>
      <c r="R19" s="1" t="str">
        <f t="shared" si="19"/>
        <v/>
      </c>
      <c r="S19" s="1" t="str">
        <f>IF($O19="","",IF(VLOOKUP($O19,'Teilnehmende - Starters'!$D:$Z,S$11,0)="","",VLOOKUP($O19,'Teilnehmende - Starters'!$D:$Z,S$11,0)))</f>
        <v/>
      </c>
      <c r="T19" s="1" t="str">
        <f>IF($O19="","",IF(VLOOKUP($O19,'Teilnehmende - Starters'!$D:$Z,T$11,0)="","",VLOOKUP($O19,'Teilnehmende - Starters'!$D:$Z,T$11,0)))</f>
        <v/>
      </c>
      <c r="U19" s="1" t="str">
        <f>IF($O19="","",IF(VLOOKUP(O19,'Teilnehmende - Starters'!$C:$I,7,0)="w",IF(OR(S19=20,S19=19),"DE","ME"),IF(OR(S19=20,S19=19),"HE","JE")))</f>
        <v/>
      </c>
      <c r="V19" s="1" t="str">
        <f t="shared" si="20"/>
        <v/>
      </c>
      <c r="W19" s="17"/>
      <c r="X19" s="1" t="str">
        <f>IF(ISERROR(SMALL('Teilnehmende - Starters'!$E$81:$E$156,ROW(A5))),"",SMALL('Teilnehmende - Starters'!$E$81:$E$156,ROW(A5)))</f>
        <v/>
      </c>
      <c r="Y19" s="1" t="str">
        <f>IF(X19="","",VLOOKUP(X19,'Teilnehmende - Starters'!$C:$Z,5,0)&amp;" "&amp;VLOOKUP(X19,'Teilnehmende - Starters'!$C:$Z,6,0))</f>
        <v/>
      </c>
      <c r="Z19" s="1" t="str">
        <f t="shared" si="21"/>
        <v/>
      </c>
      <c r="AA19" s="1" t="str">
        <f>IF(X19="","",IF(VLOOKUP(X19,'Teilnehmende - Starters'!$C:$Z,18,0)="Freimeldung",$A$2*100+99,VLOOKUP(Y19,'Teilnehmende - Starters'!$AA$5:$AD$80,4,FALSE)))</f>
        <v/>
      </c>
      <c r="AB19" s="1" t="str">
        <f>IF(AA19="","",IF(VLOOKUP(X19,'Teilnehmende - Starters'!$C:$Z,18,0)="Freimeldung","Freimeldung",VLOOKUP(AA19,$A$15:$E$77,4,0)&amp;" "&amp;VLOOKUP(AA19,$A$15:$E$77,5,0)))</f>
        <v/>
      </c>
      <c r="AC19" s="1" t="str">
        <f>IF(AA19="","",IF(VLOOKUP(X19,'Teilnehmende - Starters'!$C:$Z,18,0)="Freimeldung","",VLOOKUP(AA19,$A$15:$C$77,3,0)))</f>
        <v/>
      </c>
      <c r="AD19" s="1" t="str">
        <f>IF($X19="","",IF(VLOOKUP($X19,'Teilnehmende - Starters'!$C:$Z,AD$11,0)="","",VLOOKUP($X19,'Teilnehmende - Starters'!$C:$Z,AD$11,0)))</f>
        <v/>
      </c>
      <c r="AE19" s="1" t="str">
        <f>IF($X19="","",IF(VLOOKUP($X19,'Teilnehmende - Starters'!$C:$Z,AE$11,0)="","",VLOOKUP($X19,'Teilnehmende - Starters'!$C:$Z,AE$11,0)))</f>
        <v/>
      </c>
      <c r="AF19" s="1" t="str">
        <f>IF($X19="","",IF(VLOOKUP(X19,'Teilnehmende - Starters'!$C:$I,7,0)="w",IF(OR(AD19=20,AD19=19),"DD","MD"),IF(OR(AD19=20,AD19=19),"HD","JD")))</f>
        <v/>
      </c>
      <c r="AG19" s="1" t="str">
        <f t="shared" si="22"/>
        <v/>
      </c>
      <c r="AH19" s="17"/>
      <c r="AI19" s="1" t="str">
        <f>IF(ISERROR(SMALL('Teilnehmende - Starters'!$F$81:$F$156,ROW(P5))),"",SMALL('Teilnehmende - Starters'!$F$81:$F$156,ROW(P5)))</f>
        <v/>
      </c>
      <c r="AJ19" s="1" t="str">
        <f>IF(AI19="","",VLOOKUP(AI19,'Teilnehmende - Starters'!$C:$Z,5,0)&amp;" "&amp;VLOOKUP(AI19,'Teilnehmende - Starters'!$C:$Z,6,0))</f>
        <v/>
      </c>
      <c r="AK19" s="1" t="str">
        <f t="shared" si="23"/>
        <v/>
      </c>
      <c r="AL19" s="1" t="str">
        <f>IF(AI19="","",IF(VLOOKUP(AI19,'Teilnehmende - Starters'!$C:$AN,21,0)="Freimeldung",$A$2*100+99,VLOOKUP(AJ19,'Teilnehmende - Starters'!$AB$5:$AD$80,3,FALSE)))</f>
        <v/>
      </c>
      <c r="AM19" s="1" t="str">
        <f>IF(AL19="","",IF(VLOOKUP(AI19,'Teilnehmende - Starters'!$C:$Z,21,0)="Freimeldung","Freimeldung",VLOOKUP(AL19,$A$15:$E$77,4,0)&amp;" "&amp;VLOOKUP(AL19,$A$15:$E$77,5,0)))</f>
        <v/>
      </c>
      <c r="AN19" s="1" t="str">
        <f>IF(AL19="","",IF(VLOOKUP(AI19,'Teilnehmende - Starters'!$C:$Z,21,0)="Freimeldung","",VLOOKUP(AL19,$A$15:$C$77,3,0)))</f>
        <v/>
      </c>
      <c r="AO19" s="1" t="str">
        <f>IF($AI19="","",IF(VLOOKUP($AI19,'Teilnehmende - Starters'!$C:$Z,AO$11,0)="","",VLOOKUP($AI19,'Teilnehmende - Starters'!$C:$Z,AO$11,0)))</f>
        <v/>
      </c>
      <c r="AP19" s="1" t="str">
        <f>IF($AI19="","",IF(VLOOKUP($AI19,'Teilnehmende - Starters'!$C:$Z,AP$11,0)="","",VLOOKUP($AI19,'Teilnehmende - Starters'!$C:$Z,AP$11,0)))</f>
        <v/>
      </c>
      <c r="AQ19" s="1" t="str">
        <f t="shared" si="17"/>
        <v/>
      </c>
      <c r="AR19" s="1" t="str">
        <f t="shared" si="24"/>
        <v/>
      </c>
    </row>
    <row r="20" spans="1:44" x14ac:dyDescent="0.3">
      <c r="A20" s="1" t="str">
        <f>IF(ISERROR(SMALL('Teilnehmende - Starters'!$C$81:$C$156,ROW(A6))),"",SMALL('Teilnehmende - Starters'!$C$81:$C$156,ROW(A6)))</f>
        <v/>
      </c>
      <c r="B20" s="1" t="str">
        <f>IF($A20="","",IF(VLOOKUP($A20,'Teilnehmende - Starters'!$C:$Z,B$11,0)="","",SUBSTITUTE(VLOOKUP($A20,'Teilnehmende - Starters'!$C:$Z,B$11,0)," ","")))</f>
        <v/>
      </c>
      <c r="C20" s="1" t="str">
        <f>IF(A20="","",VLOOKUP(INT(A20/100),'Vereine - Clubs'!$C:$H,4,0))</f>
        <v/>
      </c>
      <c r="D20" s="1" t="str">
        <f>IF($A20="","",IF(VLOOKUP($A20,'Teilnehmende - Starters'!$C:$Z,D$11,0)="","",
IF(RIGHT(VLOOKUP($A20,'Teilnehmende - Starters'!$C:$Z,D$11,0),1)=" ",LEFT(VLOOKUP($A20,'Teilnehmende - Starters'!$C:$Z,D$11,0),LEN(VLOOKUP($A20,'Teilnehmende - Starters'!$C:$Z,D$11,0))-1),
VLOOKUP($A20,'Teilnehmende - Starters'!$C:$Z,D$11,0))))</f>
        <v/>
      </c>
      <c r="E20" s="1" t="str">
        <f>IF($A20="","",IF(VLOOKUP($A20,'Teilnehmende - Starters'!$C:$Z,E$11,0)="","",
IF(RIGHT(VLOOKUP($A20,'Teilnehmende - Starters'!$C:$Z,E$11,0),1)=" ",LEFT(VLOOKUP($A20,'Teilnehmende - Starters'!$C:$Z,E$11,0),LEN(VLOOKUP($A20,'Teilnehmende - Starters'!$C:$Z,E$11,0))-1),
VLOOKUP($A20,'Teilnehmende - Starters'!$C:$Z,E$11,0))))</f>
        <v/>
      </c>
      <c r="F20" s="72" t="str">
        <f>IF($A20="","",IF(VLOOKUP($A20,'Teilnehmende - Starters'!$C:$Z,F$11,0)="","",VLOOKUP($A20,'Teilnehmende - Starters'!$C:$Z,F$11,0)))</f>
        <v/>
      </c>
      <c r="G20" s="1" t="str">
        <f>IF($A20="","",IF(VLOOKUP($A20,'Teilnehmende - Starters'!$C:$Z,G$11,0)="","",VLOOKUP($A20,'Teilnehmende - Starters'!$C:$Z,G$11,0)))</f>
        <v/>
      </c>
      <c r="H20" s="1" t="str">
        <f>IF($A20="","",IF(VLOOKUP($A20,'Teilnehmende - Starters'!$C:$Z,H$11,0)="","",VLOOKUP($A20,'Teilnehmende - Starters'!$C:$Z,H$11,0)))</f>
        <v/>
      </c>
      <c r="I20" s="1" t="str">
        <f>IF($A20="","",IF(VLOOKUP($A20,'Teilnehmende - Starters'!$C:$Z,I$11,0)="","",VLOOKUP($A20,'Teilnehmende - Starters'!$C:$Z,I$11,0)))</f>
        <v/>
      </c>
      <c r="J20" s="1" t="str">
        <f>IF($A20="","",IF(VLOOKUP($A20,'Teilnehmende - Starters'!$C:$Z,J$11,0)="","",VLOOKUP($A20,'Teilnehmende - Starters'!$C:$Z,J$11,0)))</f>
        <v/>
      </c>
      <c r="K20" s="1" t="str">
        <f>IF($A20="","",IF(VLOOKUP($A20,'Teilnehmende - Starters'!$C:$Z,K$11,0)="","",VLOOKUP($A20,'Teilnehmende - Starters'!$C:$Z,K$11,0)))</f>
        <v/>
      </c>
      <c r="L20" s="1" t="str">
        <f>IF($A20="","",IF(VLOOKUP($A20,'Teilnehmende - Starters'!$C:$Z,L$11,0)="","",VLOOKUP($A20,'Teilnehmende - Starters'!$C:$Z,L$11,0)))</f>
        <v/>
      </c>
      <c r="M20" s="1" t="str">
        <f>IF($A20="","",IF(VLOOKUP($A20,'Teilnehmende - Starters'!$C:$Z,M$11,0)="","",VLOOKUP($A20,'Teilnehmende - Starters'!$C:$Z,M$11,0)))</f>
        <v/>
      </c>
      <c r="N20" s="17"/>
      <c r="O20" s="1" t="str">
        <f>IF(ISERROR(SMALL('Teilnehmende - Starters'!$D$81:$D$156,ROW(A6))),"",SMALL('Teilnehmende - Starters'!$D$81:$D$156,ROW(A6)))</f>
        <v/>
      </c>
      <c r="P20" s="1" t="str">
        <f>IF($O20="","",IF(VLOOKUP($O20,'Teilnehmende - Starters'!$D:$Z,P$11,0)="","",
IF(RIGHT(VLOOKUP($O20,'Teilnehmende - Starters'!$D:$Z,P$11,0),1)=" ",LEFT(VLOOKUP($O20,'Teilnehmende - Starters'!$D:$Z,P$11,0),LEN(VLOOKUP($O20,'Teilnehmende - Starters'!$D:$Z,P$11,0))-1),
VLOOKUP($O20,'Teilnehmende - Starters'!$D:$Z,P$11,0))))</f>
        <v/>
      </c>
      <c r="Q20" s="1" t="str">
        <f>IF($O20="","",IF(VLOOKUP($O20,'Teilnehmende - Starters'!$D:$Z,Q$11,0)="","",
IF(RIGHT(VLOOKUP($O20,'Teilnehmende - Starters'!$D:$Z,Q$11,0),1)=" ",LEFT(VLOOKUP($O20,'Teilnehmende - Starters'!$D:$Z,Q$11,0),LEN(VLOOKUP($O20,'Teilnehmende - Starters'!$D:$Z,Q$11,0))-1),
VLOOKUP($O20,'Teilnehmende - Starters'!$D:$Z,Q$11,0))))</f>
        <v/>
      </c>
      <c r="R20" s="1" t="str">
        <f t="shared" si="19"/>
        <v/>
      </c>
      <c r="S20" s="1" t="str">
        <f>IF($O20="","",IF(VLOOKUP($O20,'Teilnehmende - Starters'!$D:$Z,S$11,0)="","",VLOOKUP($O20,'Teilnehmende - Starters'!$D:$Z,S$11,0)))</f>
        <v/>
      </c>
      <c r="T20" s="1" t="str">
        <f>IF($O20="","",IF(VLOOKUP($O20,'Teilnehmende - Starters'!$D:$Z,T$11,0)="","",VLOOKUP($O20,'Teilnehmende - Starters'!$D:$Z,T$11,0)))</f>
        <v/>
      </c>
      <c r="U20" s="1" t="str">
        <f>IF($O20="","",IF(VLOOKUP(O20,'Teilnehmende - Starters'!$C:$I,7,0)="w",IF(OR(S20=20,S20=19),"DE","ME"),IF(OR(S20=20,S20=19),"HE","JE")))</f>
        <v/>
      </c>
      <c r="V20" s="1" t="str">
        <f t="shared" si="20"/>
        <v/>
      </c>
      <c r="W20" s="17"/>
      <c r="X20" s="1" t="str">
        <f>IF(ISERROR(SMALL('Teilnehmende - Starters'!$E$81:$E$156,ROW(A6))),"",SMALL('Teilnehmende - Starters'!$E$81:$E$156,ROW(A6)))</f>
        <v/>
      </c>
      <c r="Y20" s="1" t="str">
        <f>IF(X20="","",VLOOKUP(X20,'Teilnehmende - Starters'!$C:$Z,5,0)&amp;" "&amp;VLOOKUP(X20,'Teilnehmende - Starters'!$C:$Z,6,0))</f>
        <v/>
      </c>
      <c r="Z20" s="1" t="str">
        <f t="shared" si="21"/>
        <v/>
      </c>
      <c r="AA20" s="1" t="str">
        <f>IF(X20="","",IF(VLOOKUP(X20,'Teilnehmende - Starters'!$C:$Z,18,0)="Freimeldung",$A$2*100+99,VLOOKUP(Y20,'Teilnehmende - Starters'!$AA$5:$AD$80,4,FALSE)))</f>
        <v/>
      </c>
      <c r="AB20" s="1" t="str">
        <f>IF(AA20="","",IF(VLOOKUP(X20,'Teilnehmende - Starters'!$C:$Z,18,0)="Freimeldung","Freimeldung",VLOOKUP(AA20,$A$15:$E$77,4,0)&amp;" "&amp;VLOOKUP(AA20,$A$15:$E$77,5,0)))</f>
        <v/>
      </c>
      <c r="AC20" s="1" t="str">
        <f>IF(AA20="","",IF(VLOOKUP(X20,'Teilnehmende - Starters'!$C:$Z,18,0)="Freimeldung","",VLOOKUP(AA20,$A$15:$C$77,3,0)))</f>
        <v/>
      </c>
      <c r="AD20" s="1" t="str">
        <f>IF($X20="","",IF(VLOOKUP($X20,'Teilnehmende - Starters'!$C:$Z,AD$11,0)="","",VLOOKUP($X20,'Teilnehmende - Starters'!$C:$Z,AD$11,0)))</f>
        <v/>
      </c>
      <c r="AE20" s="1" t="str">
        <f>IF($X20="","",IF(VLOOKUP($X20,'Teilnehmende - Starters'!$C:$Z,AE$11,0)="","",VLOOKUP($X20,'Teilnehmende - Starters'!$C:$Z,AE$11,0)))</f>
        <v/>
      </c>
      <c r="AF20" s="1" t="str">
        <f>IF($X20="","",IF(VLOOKUP(X20,'Teilnehmende - Starters'!$C:$I,7,0)="w",IF(OR(AD20=20,AD20=19),"DD","MD"),IF(OR(AD20=20,AD20=19),"HD","JD")))</f>
        <v/>
      </c>
      <c r="AG20" s="1" t="str">
        <f t="shared" si="22"/>
        <v/>
      </c>
      <c r="AH20" s="17"/>
      <c r="AI20" s="1" t="str">
        <f>IF(ISERROR(SMALL('Teilnehmende - Starters'!$F$81:$F$156,ROW(P6))),"",SMALL('Teilnehmende - Starters'!$F$81:$F$156,ROW(P6)))</f>
        <v/>
      </c>
      <c r="AJ20" s="1" t="str">
        <f>IF(AI20="","",VLOOKUP(AI20,'Teilnehmende - Starters'!$C:$Z,5,0)&amp;" "&amp;VLOOKUP(AI20,'Teilnehmende - Starters'!$C:$Z,6,0))</f>
        <v/>
      </c>
      <c r="AK20" s="1" t="str">
        <f t="shared" si="23"/>
        <v/>
      </c>
      <c r="AL20" s="1" t="str">
        <f>IF(AI20="","",IF(VLOOKUP(AI20,'Teilnehmende - Starters'!$C:$AN,21,0)="Freimeldung",$A$2*100+99,VLOOKUP(AJ20,'Teilnehmende - Starters'!$AB$5:$AD$80,3,FALSE)))</f>
        <v/>
      </c>
      <c r="AM20" s="1" t="str">
        <f>IF(AL20="","",IF(VLOOKUP(AI20,'Teilnehmende - Starters'!$C:$Z,21,0)="Freimeldung","Freimeldung",VLOOKUP(AL20,$A$15:$E$77,4,0)&amp;" "&amp;VLOOKUP(AL20,$A$15:$E$77,5,0)))</f>
        <v/>
      </c>
      <c r="AN20" s="1" t="str">
        <f>IF(AL20="","",IF(VLOOKUP(AI20,'Teilnehmende - Starters'!$C:$Z,21,0)="Freimeldung","",VLOOKUP(AL20,$A$15:$C$77,3,0)))</f>
        <v/>
      </c>
      <c r="AO20" s="1" t="str">
        <f>IF($AI20="","",IF(VLOOKUP($AI20,'Teilnehmende - Starters'!$C:$Z,AO$11,0)="","",VLOOKUP($AI20,'Teilnehmende - Starters'!$C:$Z,AO$11,0)))</f>
        <v/>
      </c>
      <c r="AP20" s="1" t="str">
        <f>IF($AI20="","",IF(VLOOKUP($AI20,'Teilnehmende - Starters'!$C:$Z,AP$11,0)="","",VLOOKUP($AI20,'Teilnehmende - Starters'!$C:$Z,AP$11,0)))</f>
        <v/>
      </c>
      <c r="AQ20" s="1" t="str">
        <f t="shared" si="17"/>
        <v/>
      </c>
      <c r="AR20" s="1" t="str">
        <f t="shared" si="24"/>
        <v/>
      </c>
    </row>
    <row r="21" spans="1:44" x14ac:dyDescent="0.3">
      <c r="A21" s="1" t="str">
        <f>IF(ISERROR(SMALL('Teilnehmende - Starters'!$C$81:$C$156,ROW(A7))),"",SMALL('Teilnehmende - Starters'!$C$81:$C$156,ROW(A7)))</f>
        <v/>
      </c>
      <c r="B21" s="1" t="str">
        <f>IF($A21="","",IF(VLOOKUP($A21,'Teilnehmende - Starters'!$C:$Z,B$11,0)="","",SUBSTITUTE(VLOOKUP($A21,'Teilnehmende - Starters'!$C:$Z,B$11,0)," ","")))</f>
        <v/>
      </c>
      <c r="C21" s="1" t="str">
        <f>IF(A21="","",VLOOKUP(INT(A21/100),'Vereine - Clubs'!$C:$H,4,0))</f>
        <v/>
      </c>
      <c r="D21" s="1" t="str">
        <f>IF($A21="","",IF(VLOOKUP($A21,'Teilnehmende - Starters'!$C:$Z,D$11,0)="","",
IF(RIGHT(VLOOKUP($A21,'Teilnehmende - Starters'!$C:$Z,D$11,0),1)=" ",LEFT(VLOOKUP($A21,'Teilnehmende - Starters'!$C:$Z,D$11,0),LEN(VLOOKUP($A21,'Teilnehmende - Starters'!$C:$Z,D$11,0))-1),
VLOOKUP($A21,'Teilnehmende - Starters'!$C:$Z,D$11,0))))</f>
        <v/>
      </c>
      <c r="E21" s="1" t="str">
        <f>IF($A21="","",IF(VLOOKUP($A21,'Teilnehmende - Starters'!$C:$Z,E$11,0)="","",
IF(RIGHT(VLOOKUP($A21,'Teilnehmende - Starters'!$C:$Z,E$11,0),1)=" ",LEFT(VLOOKUP($A21,'Teilnehmende - Starters'!$C:$Z,E$11,0),LEN(VLOOKUP($A21,'Teilnehmende - Starters'!$C:$Z,E$11,0))-1),
VLOOKUP($A21,'Teilnehmende - Starters'!$C:$Z,E$11,0))))</f>
        <v/>
      </c>
      <c r="F21" s="72" t="str">
        <f>IF($A21="","",IF(VLOOKUP($A21,'Teilnehmende - Starters'!$C:$Z,F$11,0)="","",VLOOKUP($A21,'Teilnehmende - Starters'!$C:$Z,F$11,0)))</f>
        <v/>
      </c>
      <c r="G21" s="1" t="str">
        <f>IF($A21="","",IF(VLOOKUP($A21,'Teilnehmende - Starters'!$C:$Z,G$11,0)="","",VLOOKUP($A21,'Teilnehmende - Starters'!$C:$Z,G$11,0)))</f>
        <v/>
      </c>
      <c r="H21" s="1" t="str">
        <f>IF($A21="","",IF(VLOOKUP($A21,'Teilnehmende - Starters'!$C:$Z,H$11,0)="","",VLOOKUP($A21,'Teilnehmende - Starters'!$C:$Z,H$11,0)))</f>
        <v/>
      </c>
      <c r="I21" s="1" t="str">
        <f>IF($A21="","",IF(VLOOKUP($A21,'Teilnehmende - Starters'!$C:$Z,I$11,0)="","",VLOOKUP($A21,'Teilnehmende - Starters'!$C:$Z,I$11,0)))</f>
        <v/>
      </c>
      <c r="J21" s="1" t="str">
        <f>IF($A21="","",IF(VLOOKUP($A21,'Teilnehmende - Starters'!$C:$Z,J$11,0)="","",VLOOKUP($A21,'Teilnehmende - Starters'!$C:$Z,J$11,0)))</f>
        <v/>
      </c>
      <c r="K21" s="1" t="str">
        <f>IF($A21="","",IF(VLOOKUP($A21,'Teilnehmende - Starters'!$C:$Z,K$11,0)="","",VLOOKUP($A21,'Teilnehmende - Starters'!$C:$Z,K$11,0)))</f>
        <v/>
      </c>
      <c r="L21" s="1" t="str">
        <f>IF($A21="","",IF(VLOOKUP($A21,'Teilnehmende - Starters'!$C:$Z,L$11,0)="","",VLOOKUP($A21,'Teilnehmende - Starters'!$C:$Z,L$11,0)))</f>
        <v/>
      </c>
      <c r="M21" s="1" t="str">
        <f>IF($A21="","",IF(VLOOKUP($A21,'Teilnehmende - Starters'!$C:$Z,M$11,0)="","",VLOOKUP($A21,'Teilnehmende - Starters'!$C:$Z,M$11,0)))</f>
        <v/>
      </c>
      <c r="N21" s="17"/>
      <c r="O21" s="1" t="str">
        <f>IF(ISERROR(SMALL('Teilnehmende - Starters'!$D$81:$D$156,ROW(A7))),"",SMALL('Teilnehmende - Starters'!$D$81:$D$156,ROW(A7)))</f>
        <v/>
      </c>
      <c r="P21" s="1" t="str">
        <f>IF($O21="","",IF(VLOOKUP($O21,'Teilnehmende - Starters'!$D:$Z,P$11,0)="","",
IF(RIGHT(VLOOKUP($O21,'Teilnehmende - Starters'!$D:$Z,P$11,0),1)=" ",LEFT(VLOOKUP($O21,'Teilnehmende - Starters'!$D:$Z,P$11,0),LEN(VLOOKUP($O21,'Teilnehmende - Starters'!$D:$Z,P$11,0))-1),
VLOOKUP($O21,'Teilnehmende - Starters'!$D:$Z,P$11,0))))</f>
        <v/>
      </c>
      <c r="Q21" s="1" t="str">
        <f>IF($O21="","",IF(VLOOKUP($O21,'Teilnehmende - Starters'!$D:$Z,Q$11,0)="","",
IF(RIGHT(VLOOKUP($O21,'Teilnehmende - Starters'!$D:$Z,Q$11,0),1)=" ",LEFT(VLOOKUP($O21,'Teilnehmende - Starters'!$D:$Z,Q$11,0),LEN(VLOOKUP($O21,'Teilnehmende - Starters'!$D:$Z,Q$11,0))-1),
VLOOKUP($O21,'Teilnehmende - Starters'!$D:$Z,Q$11,0))))</f>
        <v/>
      </c>
      <c r="R21" s="1" t="str">
        <f t="shared" si="19"/>
        <v/>
      </c>
      <c r="S21" s="1" t="str">
        <f>IF($O21="","",IF(VLOOKUP($O21,'Teilnehmende - Starters'!$D:$Z,S$11,0)="","",VLOOKUP($O21,'Teilnehmende - Starters'!$D:$Z,S$11,0)))</f>
        <v/>
      </c>
      <c r="T21" s="1" t="str">
        <f>IF($O21="","",IF(VLOOKUP($O21,'Teilnehmende - Starters'!$D:$Z,T$11,0)="","",VLOOKUP($O21,'Teilnehmende - Starters'!$D:$Z,T$11,0)))</f>
        <v/>
      </c>
      <c r="U21" s="1" t="str">
        <f>IF($O21="","",IF(VLOOKUP(O21,'Teilnehmende - Starters'!$C:$I,7,0)="w",IF(OR(S21=20,S21=19),"DE","ME"),IF(OR(S21=20,S21=19),"HE","JE")))</f>
        <v/>
      </c>
      <c r="V21" s="1" t="str">
        <f t="shared" si="20"/>
        <v/>
      </c>
      <c r="W21" s="17"/>
      <c r="X21" s="1" t="str">
        <f>IF(ISERROR(SMALL('Teilnehmende - Starters'!$E$81:$E$156,ROW(A7))),"",SMALL('Teilnehmende - Starters'!$E$81:$E$156,ROW(A7)))</f>
        <v/>
      </c>
      <c r="Y21" s="1" t="str">
        <f>IF(X21="","",VLOOKUP(X21,'Teilnehmende - Starters'!$C:$Z,5,0)&amp;" "&amp;VLOOKUP(X21,'Teilnehmende - Starters'!$C:$Z,6,0))</f>
        <v/>
      </c>
      <c r="Z21" s="1" t="str">
        <f t="shared" si="21"/>
        <v/>
      </c>
      <c r="AA21" s="1" t="str">
        <f>IF(X21="","",IF(VLOOKUP(X21,'Teilnehmende - Starters'!$C:$Z,18,0)="Freimeldung",$A$2*100+99,VLOOKUP(Y21,'Teilnehmende - Starters'!$AA$5:$AD$80,4,FALSE)))</f>
        <v/>
      </c>
      <c r="AB21" s="1" t="str">
        <f>IF(AA21="","",IF(VLOOKUP(X21,'Teilnehmende - Starters'!$C:$Z,18,0)="Freimeldung","Freimeldung",VLOOKUP(AA21,$A$15:$E$77,4,0)&amp;" "&amp;VLOOKUP(AA21,$A$15:$E$77,5,0)))</f>
        <v/>
      </c>
      <c r="AC21" s="1" t="str">
        <f>IF(AA21="","",IF(VLOOKUP(X21,'Teilnehmende - Starters'!$C:$Z,18,0)="Freimeldung","",VLOOKUP(AA21,$A$15:$C$77,3,0)))</f>
        <v/>
      </c>
      <c r="AD21" s="1" t="str">
        <f>IF($X21="","",IF(VLOOKUP($X21,'Teilnehmende - Starters'!$C:$Z,AD$11,0)="","",VLOOKUP($X21,'Teilnehmende - Starters'!$C:$Z,AD$11,0)))</f>
        <v/>
      </c>
      <c r="AE21" s="1" t="str">
        <f>IF($X21="","",IF(VLOOKUP($X21,'Teilnehmende - Starters'!$C:$Z,AE$11,0)="","",VLOOKUP($X21,'Teilnehmende - Starters'!$C:$Z,AE$11,0)))</f>
        <v/>
      </c>
      <c r="AF21" s="1" t="str">
        <f>IF($X21="","",IF(VLOOKUP(X21,'Teilnehmende - Starters'!$C:$I,7,0)="w",IF(OR(AD21=20,AD21=19),"DD","MD"),IF(OR(AD21=20,AD21=19),"HD","JD")))</f>
        <v/>
      </c>
      <c r="AG21" s="1" t="str">
        <f t="shared" si="22"/>
        <v/>
      </c>
      <c r="AH21" s="17"/>
      <c r="AI21" s="1" t="str">
        <f>IF(ISERROR(SMALL('Teilnehmende - Starters'!$F$81:$F$156,ROW(P7))),"",SMALL('Teilnehmende - Starters'!$F$81:$F$156,ROW(P7)))</f>
        <v/>
      </c>
      <c r="AJ21" s="1" t="str">
        <f>IF(AI21="","",VLOOKUP(AI21,'Teilnehmende - Starters'!$C:$Z,5,0)&amp;" "&amp;VLOOKUP(AI21,'Teilnehmende - Starters'!$C:$Z,6,0))</f>
        <v/>
      </c>
      <c r="AK21" s="1" t="str">
        <f t="shared" si="23"/>
        <v/>
      </c>
      <c r="AL21" s="1" t="str">
        <f>IF(AI21="","",IF(VLOOKUP(AI21,'Teilnehmende - Starters'!$C:$AN,21,0)="Freimeldung",$A$2*100+99,VLOOKUP(AJ21,'Teilnehmende - Starters'!$AB$5:$AD$80,3,FALSE)))</f>
        <v/>
      </c>
      <c r="AM21" s="1" t="str">
        <f>IF(AL21="","",IF(VLOOKUP(AI21,'Teilnehmende - Starters'!$C:$Z,21,0)="Freimeldung","Freimeldung",VLOOKUP(AL21,$A$15:$E$77,4,0)&amp;" "&amp;VLOOKUP(AL21,$A$15:$E$77,5,0)))</f>
        <v/>
      </c>
      <c r="AN21" s="1" t="str">
        <f>IF(AL21="","",IF(VLOOKUP(AI21,'Teilnehmende - Starters'!$C:$Z,21,0)="Freimeldung","",VLOOKUP(AL21,$A$15:$C$77,3,0)))</f>
        <v/>
      </c>
      <c r="AO21" s="1" t="str">
        <f>IF($AI21="","",IF(VLOOKUP($AI21,'Teilnehmende - Starters'!$C:$Z,AO$11,0)="","",VLOOKUP($AI21,'Teilnehmende - Starters'!$C:$Z,AO$11,0)))</f>
        <v/>
      </c>
      <c r="AP21" s="1" t="str">
        <f>IF($AI21="","",IF(VLOOKUP($AI21,'Teilnehmende - Starters'!$C:$Z,AP$11,0)="","",VLOOKUP($AI21,'Teilnehmende - Starters'!$C:$Z,AP$11,0)))</f>
        <v/>
      </c>
      <c r="AQ21" s="1" t="str">
        <f t="shared" si="17"/>
        <v/>
      </c>
      <c r="AR21" s="1" t="str">
        <f t="shared" si="24"/>
        <v/>
      </c>
    </row>
    <row r="22" spans="1:44" x14ac:dyDescent="0.3">
      <c r="A22" s="1" t="str">
        <f>IF(ISERROR(SMALL('Teilnehmende - Starters'!$C$81:$C$156,ROW(A8))),"",SMALL('Teilnehmende - Starters'!$C$81:$C$156,ROW(A8)))</f>
        <v/>
      </c>
      <c r="B22" s="1" t="str">
        <f>IF($A22="","",IF(VLOOKUP($A22,'Teilnehmende - Starters'!$C:$Z,B$11,0)="","",SUBSTITUTE(VLOOKUP($A22,'Teilnehmende - Starters'!$C:$Z,B$11,0)," ","")))</f>
        <v/>
      </c>
      <c r="C22" s="1" t="str">
        <f>IF(A22="","",VLOOKUP(INT(A22/100),'Vereine - Clubs'!$C:$H,4,0))</f>
        <v/>
      </c>
      <c r="D22" s="1" t="str">
        <f>IF($A22="","",IF(VLOOKUP($A22,'Teilnehmende - Starters'!$C:$Z,D$11,0)="","",
IF(RIGHT(VLOOKUP($A22,'Teilnehmende - Starters'!$C:$Z,D$11,0),1)=" ",LEFT(VLOOKUP($A22,'Teilnehmende - Starters'!$C:$Z,D$11,0),LEN(VLOOKUP($A22,'Teilnehmende - Starters'!$C:$Z,D$11,0))-1),
VLOOKUP($A22,'Teilnehmende - Starters'!$C:$Z,D$11,0))))</f>
        <v/>
      </c>
      <c r="E22" s="1" t="str">
        <f>IF($A22="","",IF(VLOOKUP($A22,'Teilnehmende - Starters'!$C:$Z,E$11,0)="","",
IF(RIGHT(VLOOKUP($A22,'Teilnehmende - Starters'!$C:$Z,E$11,0),1)=" ",LEFT(VLOOKUP($A22,'Teilnehmende - Starters'!$C:$Z,E$11,0),LEN(VLOOKUP($A22,'Teilnehmende - Starters'!$C:$Z,E$11,0))-1),
VLOOKUP($A22,'Teilnehmende - Starters'!$C:$Z,E$11,0))))</f>
        <v/>
      </c>
      <c r="F22" s="72" t="str">
        <f>IF($A22="","",IF(VLOOKUP($A22,'Teilnehmende - Starters'!$C:$Z,F$11,0)="","",VLOOKUP($A22,'Teilnehmende - Starters'!$C:$Z,F$11,0)))</f>
        <v/>
      </c>
      <c r="G22" s="1" t="str">
        <f>IF($A22="","",IF(VLOOKUP($A22,'Teilnehmende - Starters'!$C:$Z,G$11,0)="","",VLOOKUP($A22,'Teilnehmende - Starters'!$C:$Z,G$11,0)))</f>
        <v/>
      </c>
      <c r="H22" s="1" t="str">
        <f>IF($A22="","",IF(VLOOKUP($A22,'Teilnehmende - Starters'!$C:$Z,H$11,0)="","",VLOOKUP($A22,'Teilnehmende - Starters'!$C:$Z,H$11,0)))</f>
        <v/>
      </c>
      <c r="I22" s="1" t="str">
        <f>IF($A22="","",IF(VLOOKUP($A22,'Teilnehmende - Starters'!$C:$Z,I$11,0)="","",VLOOKUP($A22,'Teilnehmende - Starters'!$C:$Z,I$11,0)))</f>
        <v/>
      </c>
      <c r="J22" s="1" t="str">
        <f>IF($A22="","",IF(VLOOKUP($A22,'Teilnehmende - Starters'!$C:$Z,J$11,0)="","",VLOOKUP($A22,'Teilnehmende - Starters'!$C:$Z,J$11,0)))</f>
        <v/>
      </c>
      <c r="K22" s="1" t="str">
        <f>IF($A22="","",IF(VLOOKUP($A22,'Teilnehmende - Starters'!$C:$Z,K$11,0)="","",VLOOKUP($A22,'Teilnehmende - Starters'!$C:$Z,K$11,0)))</f>
        <v/>
      </c>
      <c r="L22" s="1" t="str">
        <f>IF($A22="","",IF(VLOOKUP($A22,'Teilnehmende - Starters'!$C:$Z,L$11,0)="","",VLOOKUP($A22,'Teilnehmende - Starters'!$C:$Z,L$11,0)))</f>
        <v/>
      </c>
      <c r="M22" s="1" t="str">
        <f>IF($A22="","",IF(VLOOKUP($A22,'Teilnehmende - Starters'!$C:$Z,M$11,0)="","",VLOOKUP($A22,'Teilnehmende - Starters'!$C:$Z,M$11,0)))</f>
        <v/>
      </c>
      <c r="N22" s="17"/>
      <c r="O22" s="1" t="str">
        <f>IF(ISERROR(SMALL('Teilnehmende - Starters'!$D$81:$D$156,ROW(A8))),"",SMALL('Teilnehmende - Starters'!$D$81:$D$156,ROW(A8)))</f>
        <v/>
      </c>
      <c r="P22" s="1" t="str">
        <f>IF($O22="","",IF(VLOOKUP($O22,'Teilnehmende - Starters'!$D:$Z,P$11,0)="","",
IF(RIGHT(VLOOKUP($O22,'Teilnehmende - Starters'!$D:$Z,P$11,0),1)=" ",LEFT(VLOOKUP($O22,'Teilnehmende - Starters'!$D:$Z,P$11,0),LEN(VLOOKUP($O22,'Teilnehmende - Starters'!$D:$Z,P$11,0))-1),
VLOOKUP($O22,'Teilnehmende - Starters'!$D:$Z,P$11,0))))</f>
        <v/>
      </c>
      <c r="Q22" s="1" t="str">
        <f>IF($O22="","",IF(VLOOKUP($O22,'Teilnehmende - Starters'!$D:$Z,Q$11,0)="","",
IF(RIGHT(VLOOKUP($O22,'Teilnehmende - Starters'!$D:$Z,Q$11,0),1)=" ",LEFT(VLOOKUP($O22,'Teilnehmende - Starters'!$D:$Z,Q$11,0),LEN(VLOOKUP($O22,'Teilnehmende - Starters'!$D:$Z,Q$11,0))-1),
VLOOKUP($O22,'Teilnehmende - Starters'!$D:$Z,Q$11,0))))</f>
        <v/>
      </c>
      <c r="R22" s="1" t="str">
        <f t="shared" si="19"/>
        <v/>
      </c>
      <c r="S22" s="1" t="str">
        <f>IF($O22="","",IF(VLOOKUP($O22,'Teilnehmende - Starters'!$D:$Z,S$11,0)="","",VLOOKUP($O22,'Teilnehmende - Starters'!$D:$Z,S$11,0)))</f>
        <v/>
      </c>
      <c r="T22" s="1" t="str">
        <f>IF($O22="","",IF(VLOOKUP($O22,'Teilnehmende - Starters'!$D:$Z,T$11,0)="","",VLOOKUP($O22,'Teilnehmende - Starters'!$D:$Z,T$11,0)))</f>
        <v/>
      </c>
      <c r="U22" s="1" t="str">
        <f>IF($O22="","",IF(VLOOKUP(O22,'Teilnehmende - Starters'!$C:$I,7,0)="w",IF(OR(S22=20,S22=19),"DE","ME"),IF(OR(S22=20,S22=19),"HE","JE")))</f>
        <v/>
      </c>
      <c r="V22" s="1" t="str">
        <f t="shared" si="20"/>
        <v/>
      </c>
      <c r="W22" s="17"/>
      <c r="X22" s="1" t="str">
        <f>IF(ISERROR(SMALL('Teilnehmende - Starters'!$E$81:$E$156,ROW(A8))),"",SMALL('Teilnehmende - Starters'!$E$81:$E$156,ROW(A8)))</f>
        <v/>
      </c>
      <c r="Y22" s="1" t="str">
        <f>IF(X22="","",VLOOKUP(X22,'Teilnehmende - Starters'!$C:$Z,5,0)&amp;" "&amp;VLOOKUP(X22,'Teilnehmende - Starters'!$C:$Z,6,0))</f>
        <v/>
      </c>
      <c r="Z22" s="1" t="str">
        <f t="shared" si="21"/>
        <v/>
      </c>
      <c r="AA22" s="1" t="str">
        <f>IF(X22="","",IF(VLOOKUP(X22,'Teilnehmende - Starters'!$C:$Z,18,0)="Freimeldung",$A$2*100+99,VLOOKUP(Y22,'Teilnehmende - Starters'!$AA$5:$AD$80,4,FALSE)))</f>
        <v/>
      </c>
      <c r="AB22" s="1" t="str">
        <f>IF(AA22="","",IF(VLOOKUP(X22,'Teilnehmende - Starters'!$C:$Z,18,0)="Freimeldung","Freimeldung",VLOOKUP(AA22,$A$15:$E$77,4,0)&amp;" "&amp;VLOOKUP(AA22,$A$15:$E$77,5,0)))</f>
        <v/>
      </c>
      <c r="AC22" s="1" t="str">
        <f>IF(AA22="","",IF(VLOOKUP(X22,'Teilnehmende - Starters'!$C:$Z,18,0)="Freimeldung","",VLOOKUP(AA22,$A$15:$C$77,3,0)))</f>
        <v/>
      </c>
      <c r="AD22" s="1" t="str">
        <f>IF($X22="","",IF(VLOOKUP($X22,'Teilnehmende - Starters'!$C:$Z,AD$11,0)="","",VLOOKUP($X22,'Teilnehmende - Starters'!$C:$Z,AD$11,0)))</f>
        <v/>
      </c>
      <c r="AE22" s="1" t="str">
        <f>IF($X22="","",IF(VLOOKUP($X22,'Teilnehmende - Starters'!$C:$Z,AE$11,0)="","",VLOOKUP($X22,'Teilnehmende - Starters'!$C:$Z,AE$11,0)))</f>
        <v/>
      </c>
      <c r="AF22" s="1" t="str">
        <f>IF($X22="","",IF(VLOOKUP(X22,'Teilnehmende - Starters'!$C:$I,7,0)="w",IF(OR(AD22=20,AD22=19),"DD","MD"),IF(OR(AD22=20,AD22=19),"HD","JD")))</f>
        <v/>
      </c>
      <c r="AG22" s="1" t="str">
        <f t="shared" si="22"/>
        <v/>
      </c>
      <c r="AH22" s="17"/>
      <c r="AI22" s="1" t="str">
        <f>IF(ISERROR(SMALL('Teilnehmende - Starters'!$F$81:$F$156,ROW(P8))),"",SMALL('Teilnehmende - Starters'!$F$81:$F$156,ROW(P8)))</f>
        <v/>
      </c>
      <c r="AJ22" s="1" t="str">
        <f>IF(AI22="","",VLOOKUP(AI22,'Teilnehmende - Starters'!$C:$Z,5,0)&amp;" "&amp;VLOOKUP(AI22,'Teilnehmende - Starters'!$C:$Z,6,0))</f>
        <v/>
      </c>
      <c r="AK22" s="1" t="str">
        <f t="shared" si="23"/>
        <v/>
      </c>
      <c r="AL22" s="1" t="str">
        <f>IF(AI22="","",IF(VLOOKUP(AI22,'Teilnehmende - Starters'!$C:$AN,21,0)="Freimeldung",$A$2*100+99,VLOOKUP(AJ22,'Teilnehmende - Starters'!$AB$5:$AD$80,3,FALSE)))</f>
        <v/>
      </c>
      <c r="AM22" s="1" t="str">
        <f>IF(AL22="","",IF(VLOOKUP(AI22,'Teilnehmende - Starters'!$C:$Z,21,0)="Freimeldung","Freimeldung",VLOOKUP(AL22,$A$15:$E$77,4,0)&amp;" "&amp;VLOOKUP(AL22,$A$15:$E$77,5,0)))</f>
        <v/>
      </c>
      <c r="AN22" s="1" t="str">
        <f>IF(AL22="","",IF(VLOOKUP(AI22,'Teilnehmende - Starters'!$C:$Z,21,0)="Freimeldung","",VLOOKUP(AL22,$A$15:$C$77,3,0)))</f>
        <v/>
      </c>
      <c r="AO22" s="1" t="str">
        <f>IF($AI22="","",IF(VLOOKUP($AI22,'Teilnehmende - Starters'!$C:$Z,AO$11,0)="","",VLOOKUP($AI22,'Teilnehmende - Starters'!$C:$Z,AO$11,0)))</f>
        <v/>
      </c>
      <c r="AP22" s="1" t="str">
        <f>IF($AI22="","",IF(VLOOKUP($AI22,'Teilnehmende - Starters'!$C:$Z,AP$11,0)="","",VLOOKUP($AI22,'Teilnehmende - Starters'!$C:$Z,AP$11,0)))</f>
        <v/>
      </c>
      <c r="AQ22" s="1" t="str">
        <f t="shared" si="17"/>
        <v/>
      </c>
      <c r="AR22" s="1" t="str">
        <f t="shared" si="24"/>
        <v/>
      </c>
    </row>
    <row r="23" spans="1:44" x14ac:dyDescent="0.3">
      <c r="A23" s="1" t="str">
        <f>IF(ISERROR(SMALL('Teilnehmende - Starters'!$C$81:$C$156,ROW(A9))),"",SMALL('Teilnehmende - Starters'!$C$81:$C$156,ROW(A9)))</f>
        <v/>
      </c>
      <c r="B23" s="1" t="str">
        <f>IF($A23="","",IF(VLOOKUP($A23,'Teilnehmende - Starters'!$C:$Z,B$11,0)="","",SUBSTITUTE(VLOOKUP($A23,'Teilnehmende - Starters'!$C:$Z,B$11,0)," ","")))</f>
        <v/>
      </c>
      <c r="C23" s="1" t="str">
        <f>IF(A23="","",VLOOKUP(INT(A23/100),'Vereine - Clubs'!$C:$H,4,0))</f>
        <v/>
      </c>
      <c r="D23" s="1" t="str">
        <f>IF($A23="","",IF(VLOOKUP($A23,'Teilnehmende - Starters'!$C:$Z,D$11,0)="","",
IF(RIGHT(VLOOKUP($A23,'Teilnehmende - Starters'!$C:$Z,D$11,0),1)=" ",LEFT(VLOOKUP($A23,'Teilnehmende - Starters'!$C:$Z,D$11,0),LEN(VLOOKUP($A23,'Teilnehmende - Starters'!$C:$Z,D$11,0))-1),
VLOOKUP($A23,'Teilnehmende - Starters'!$C:$Z,D$11,0))))</f>
        <v/>
      </c>
      <c r="E23" s="1" t="str">
        <f>IF($A23="","",IF(VLOOKUP($A23,'Teilnehmende - Starters'!$C:$Z,E$11,0)="","",
IF(RIGHT(VLOOKUP($A23,'Teilnehmende - Starters'!$C:$Z,E$11,0),1)=" ",LEFT(VLOOKUP($A23,'Teilnehmende - Starters'!$C:$Z,E$11,0),LEN(VLOOKUP($A23,'Teilnehmende - Starters'!$C:$Z,E$11,0))-1),
VLOOKUP($A23,'Teilnehmende - Starters'!$C:$Z,E$11,0))))</f>
        <v/>
      </c>
      <c r="F23" s="72" t="str">
        <f>IF($A23="","",IF(VLOOKUP($A23,'Teilnehmende - Starters'!$C:$Z,F$11,0)="","",VLOOKUP($A23,'Teilnehmende - Starters'!$C:$Z,F$11,0)))</f>
        <v/>
      </c>
      <c r="G23" s="1" t="str">
        <f>IF($A23="","",IF(VLOOKUP($A23,'Teilnehmende - Starters'!$C:$Z,G$11,0)="","",VLOOKUP($A23,'Teilnehmende - Starters'!$C:$Z,G$11,0)))</f>
        <v/>
      </c>
      <c r="H23" s="1" t="str">
        <f>IF($A23="","",IF(VLOOKUP($A23,'Teilnehmende - Starters'!$C:$Z,H$11,0)="","",VLOOKUP($A23,'Teilnehmende - Starters'!$C:$Z,H$11,0)))</f>
        <v/>
      </c>
      <c r="I23" s="1" t="str">
        <f>IF($A23="","",IF(VLOOKUP($A23,'Teilnehmende - Starters'!$C:$Z,I$11,0)="","",VLOOKUP($A23,'Teilnehmende - Starters'!$C:$Z,I$11,0)))</f>
        <v/>
      </c>
      <c r="J23" s="1" t="str">
        <f>IF($A23="","",IF(VLOOKUP($A23,'Teilnehmende - Starters'!$C:$Z,J$11,0)="","",VLOOKUP($A23,'Teilnehmende - Starters'!$C:$Z,J$11,0)))</f>
        <v/>
      </c>
      <c r="K23" s="1" t="str">
        <f>IF($A23="","",IF(VLOOKUP($A23,'Teilnehmende - Starters'!$C:$Z,K$11,0)="","",VLOOKUP($A23,'Teilnehmende - Starters'!$C:$Z,K$11,0)))</f>
        <v/>
      </c>
      <c r="L23" s="1" t="str">
        <f>IF($A23="","",IF(VLOOKUP($A23,'Teilnehmende - Starters'!$C:$Z,L$11,0)="","",VLOOKUP($A23,'Teilnehmende - Starters'!$C:$Z,L$11,0)))</f>
        <v/>
      </c>
      <c r="M23" s="1" t="str">
        <f>IF($A23="","",IF(VLOOKUP($A23,'Teilnehmende - Starters'!$C:$Z,M$11,0)="","",VLOOKUP($A23,'Teilnehmende - Starters'!$C:$Z,M$11,0)))</f>
        <v/>
      </c>
      <c r="N23" s="17"/>
      <c r="O23" s="1" t="str">
        <f>IF(ISERROR(SMALL('Teilnehmende - Starters'!$D$81:$D$156,ROW(A9))),"",SMALL('Teilnehmende - Starters'!$D$81:$D$156,ROW(A9)))</f>
        <v/>
      </c>
      <c r="P23" s="1" t="str">
        <f>IF($O23="","",IF(VLOOKUP($O23,'Teilnehmende - Starters'!$D:$Z,P$11,0)="","",
IF(RIGHT(VLOOKUP($O23,'Teilnehmende - Starters'!$D:$Z,P$11,0),1)=" ",LEFT(VLOOKUP($O23,'Teilnehmende - Starters'!$D:$Z,P$11,0),LEN(VLOOKUP($O23,'Teilnehmende - Starters'!$D:$Z,P$11,0))-1),
VLOOKUP($O23,'Teilnehmende - Starters'!$D:$Z,P$11,0))))</f>
        <v/>
      </c>
      <c r="Q23" s="1" t="str">
        <f>IF($O23="","",IF(VLOOKUP($O23,'Teilnehmende - Starters'!$D:$Z,Q$11,0)="","",
IF(RIGHT(VLOOKUP($O23,'Teilnehmende - Starters'!$D:$Z,Q$11,0),1)=" ",LEFT(VLOOKUP($O23,'Teilnehmende - Starters'!$D:$Z,Q$11,0),LEN(VLOOKUP($O23,'Teilnehmende - Starters'!$D:$Z,Q$11,0))-1),
VLOOKUP($O23,'Teilnehmende - Starters'!$D:$Z,Q$11,0))))</f>
        <v/>
      </c>
      <c r="R23" s="1" t="str">
        <f t="shared" si="19"/>
        <v/>
      </c>
      <c r="S23" s="1" t="str">
        <f>IF($O23="","",IF(VLOOKUP($O23,'Teilnehmende - Starters'!$D:$Z,S$11,0)="","",VLOOKUP($O23,'Teilnehmende - Starters'!$D:$Z,S$11,0)))</f>
        <v/>
      </c>
      <c r="T23" s="1" t="str">
        <f>IF($O23="","",IF(VLOOKUP($O23,'Teilnehmende - Starters'!$D:$Z,T$11,0)="","",VLOOKUP($O23,'Teilnehmende - Starters'!$D:$Z,T$11,0)))</f>
        <v/>
      </c>
      <c r="U23" s="1" t="str">
        <f>IF($O23="","",IF(VLOOKUP(O23,'Teilnehmende - Starters'!$C:$I,7,0)="w",IF(OR(S23=20,S23=19),"DE","ME"),IF(OR(S23=20,S23=19),"HE","JE")))</f>
        <v/>
      </c>
      <c r="V23" s="1" t="str">
        <f t="shared" si="20"/>
        <v/>
      </c>
      <c r="W23" s="17"/>
      <c r="X23" s="1" t="str">
        <f>IF(ISERROR(SMALL('Teilnehmende - Starters'!$E$81:$E$156,ROW(A9))),"",SMALL('Teilnehmende - Starters'!$E$81:$E$156,ROW(A9)))</f>
        <v/>
      </c>
      <c r="Y23" s="1" t="str">
        <f>IF(X23="","",VLOOKUP(X23,'Teilnehmende - Starters'!$C:$Z,5,0)&amp;" "&amp;VLOOKUP(X23,'Teilnehmende - Starters'!$C:$Z,6,0))</f>
        <v/>
      </c>
      <c r="Z23" s="1" t="str">
        <f t="shared" si="21"/>
        <v/>
      </c>
      <c r="AA23" s="1" t="str">
        <f>IF(X23="","",IF(VLOOKUP(X23,'Teilnehmende - Starters'!$C:$Z,18,0)="Freimeldung",$A$2*100+99,VLOOKUP(Y23,'Teilnehmende - Starters'!$AA$5:$AD$80,4,FALSE)))</f>
        <v/>
      </c>
      <c r="AB23" s="1" t="str">
        <f>IF(AA23="","",IF(VLOOKUP(X23,'Teilnehmende - Starters'!$C:$Z,18,0)="Freimeldung","Freimeldung",VLOOKUP(AA23,$A$15:$E$77,4,0)&amp;" "&amp;VLOOKUP(AA23,$A$15:$E$77,5,0)))</f>
        <v/>
      </c>
      <c r="AC23" s="1" t="str">
        <f>IF(AA23="","",IF(VLOOKUP(X23,'Teilnehmende - Starters'!$C:$Z,18,0)="Freimeldung","",VLOOKUP(AA23,$A$15:$C$77,3,0)))</f>
        <v/>
      </c>
      <c r="AD23" s="1" t="str">
        <f>IF($X23="","",IF(VLOOKUP($X23,'Teilnehmende - Starters'!$C:$Z,AD$11,0)="","",VLOOKUP($X23,'Teilnehmende - Starters'!$C:$Z,AD$11,0)))</f>
        <v/>
      </c>
      <c r="AE23" s="1" t="str">
        <f>IF($X23="","",IF(VLOOKUP($X23,'Teilnehmende - Starters'!$C:$Z,AE$11,0)="","",VLOOKUP($X23,'Teilnehmende - Starters'!$C:$Z,AE$11,0)))</f>
        <v/>
      </c>
      <c r="AF23" s="1" t="str">
        <f>IF($X23="","",IF(VLOOKUP(X23,'Teilnehmende - Starters'!$C:$I,7,0)="w",IF(OR(AD23=20,AD23=19),"DD","MD"),IF(OR(AD23=20,AD23=19),"HD","JD")))</f>
        <v/>
      </c>
      <c r="AG23" s="1" t="str">
        <f t="shared" si="22"/>
        <v/>
      </c>
      <c r="AH23" s="17"/>
      <c r="AI23" s="1" t="str">
        <f>IF(ISERROR(SMALL('Teilnehmende - Starters'!$F$81:$F$156,ROW(P9))),"",SMALL('Teilnehmende - Starters'!$F$81:$F$156,ROW(P9)))</f>
        <v/>
      </c>
      <c r="AJ23" s="1" t="str">
        <f>IF(AI23="","",VLOOKUP(AI23,'Teilnehmende - Starters'!$C:$Z,5,0)&amp;" "&amp;VLOOKUP(AI23,'Teilnehmende - Starters'!$C:$Z,6,0))</f>
        <v/>
      </c>
      <c r="AK23" s="1" t="str">
        <f t="shared" si="23"/>
        <v/>
      </c>
      <c r="AL23" s="1" t="str">
        <f>IF(AI23="","",IF(VLOOKUP(AI23,'Teilnehmende - Starters'!$C:$AN,21,0)="Freimeldung",$A$2*100+99,VLOOKUP(AJ23,'Teilnehmende - Starters'!$AB$5:$AD$80,3,FALSE)))</f>
        <v/>
      </c>
      <c r="AM23" s="1" t="str">
        <f>IF(AL23="","",IF(VLOOKUP(AI23,'Teilnehmende - Starters'!$C:$Z,21,0)="Freimeldung","Freimeldung",VLOOKUP(AL23,$A$15:$E$77,4,0)&amp;" "&amp;VLOOKUP(AL23,$A$15:$E$77,5,0)))</f>
        <v/>
      </c>
      <c r="AN23" s="1" t="str">
        <f>IF(AL23="","",IF(VLOOKUP(AI23,'Teilnehmende - Starters'!$C:$Z,21,0)="Freimeldung","",VLOOKUP(AL23,$A$15:$C$77,3,0)))</f>
        <v/>
      </c>
      <c r="AO23" s="1" t="str">
        <f>IF($AI23="","",IF(VLOOKUP($AI23,'Teilnehmende - Starters'!$C:$Z,AO$11,0)="","",VLOOKUP($AI23,'Teilnehmende - Starters'!$C:$Z,AO$11,0)))</f>
        <v/>
      </c>
      <c r="AP23" s="1" t="str">
        <f>IF($AI23="","",IF(VLOOKUP($AI23,'Teilnehmende - Starters'!$C:$Z,AP$11,0)="","",VLOOKUP($AI23,'Teilnehmende - Starters'!$C:$Z,AP$11,0)))</f>
        <v/>
      </c>
      <c r="AQ23" s="1" t="str">
        <f t="shared" si="17"/>
        <v/>
      </c>
      <c r="AR23" s="1" t="str">
        <f t="shared" si="24"/>
        <v/>
      </c>
    </row>
    <row r="24" spans="1:44" x14ac:dyDescent="0.3">
      <c r="A24" s="1" t="str">
        <f>IF(ISERROR(SMALL('Teilnehmende - Starters'!$C$81:$C$156,ROW(A10))),"",SMALL('Teilnehmende - Starters'!$C$81:$C$156,ROW(A10)))</f>
        <v/>
      </c>
      <c r="B24" s="1" t="str">
        <f>IF($A24="","",IF(VLOOKUP($A24,'Teilnehmende - Starters'!$C:$Z,B$11,0)="","",SUBSTITUTE(VLOOKUP($A24,'Teilnehmende - Starters'!$C:$Z,B$11,0)," ","")))</f>
        <v/>
      </c>
      <c r="C24" s="1" t="str">
        <f>IF(A24="","",VLOOKUP(INT(A24/100),'Vereine - Clubs'!$C:$H,4,0))</f>
        <v/>
      </c>
      <c r="D24" s="1" t="str">
        <f>IF($A24="","",IF(VLOOKUP($A24,'Teilnehmende - Starters'!$C:$Z,D$11,0)="","",
IF(RIGHT(VLOOKUP($A24,'Teilnehmende - Starters'!$C:$Z,D$11,0),1)=" ",LEFT(VLOOKUP($A24,'Teilnehmende - Starters'!$C:$Z,D$11,0),LEN(VLOOKUP($A24,'Teilnehmende - Starters'!$C:$Z,D$11,0))-1),
VLOOKUP($A24,'Teilnehmende - Starters'!$C:$Z,D$11,0))))</f>
        <v/>
      </c>
      <c r="E24" s="1" t="str">
        <f>IF($A24="","",IF(VLOOKUP($A24,'Teilnehmende - Starters'!$C:$Z,E$11,0)="","",
IF(RIGHT(VLOOKUP($A24,'Teilnehmende - Starters'!$C:$Z,E$11,0),1)=" ",LEFT(VLOOKUP($A24,'Teilnehmende - Starters'!$C:$Z,E$11,0),LEN(VLOOKUP($A24,'Teilnehmende - Starters'!$C:$Z,E$11,0))-1),
VLOOKUP($A24,'Teilnehmende - Starters'!$C:$Z,E$11,0))))</f>
        <v/>
      </c>
      <c r="F24" s="72" t="str">
        <f>IF($A24="","",IF(VLOOKUP($A24,'Teilnehmende - Starters'!$C:$Z,F$11,0)="","",VLOOKUP($A24,'Teilnehmende - Starters'!$C:$Z,F$11,0)))</f>
        <v/>
      </c>
      <c r="G24" s="1" t="str">
        <f>IF($A24="","",IF(VLOOKUP($A24,'Teilnehmende - Starters'!$C:$Z,G$11,0)="","",VLOOKUP($A24,'Teilnehmende - Starters'!$C:$Z,G$11,0)))</f>
        <v/>
      </c>
      <c r="H24" s="1" t="str">
        <f>IF($A24="","",IF(VLOOKUP($A24,'Teilnehmende - Starters'!$C:$Z,H$11,0)="","",VLOOKUP($A24,'Teilnehmende - Starters'!$C:$Z,H$11,0)))</f>
        <v/>
      </c>
      <c r="I24" s="1" t="str">
        <f>IF($A24="","",IF(VLOOKUP($A24,'Teilnehmende - Starters'!$C:$Z,I$11,0)="","",VLOOKUP($A24,'Teilnehmende - Starters'!$C:$Z,I$11,0)))</f>
        <v/>
      </c>
      <c r="J24" s="1" t="str">
        <f>IF($A24="","",IF(VLOOKUP($A24,'Teilnehmende - Starters'!$C:$Z,J$11,0)="","",VLOOKUP($A24,'Teilnehmende - Starters'!$C:$Z,J$11,0)))</f>
        <v/>
      </c>
      <c r="K24" s="1" t="str">
        <f>IF($A24="","",IF(VLOOKUP($A24,'Teilnehmende - Starters'!$C:$Z,K$11,0)="","",VLOOKUP($A24,'Teilnehmende - Starters'!$C:$Z,K$11,0)))</f>
        <v/>
      </c>
      <c r="L24" s="1" t="str">
        <f>IF($A24="","",IF(VLOOKUP($A24,'Teilnehmende - Starters'!$C:$Z,L$11,0)="","",VLOOKUP($A24,'Teilnehmende - Starters'!$C:$Z,L$11,0)))</f>
        <v/>
      </c>
      <c r="M24" s="1" t="str">
        <f>IF($A24="","",IF(VLOOKUP($A24,'Teilnehmende - Starters'!$C:$Z,M$11,0)="","",VLOOKUP($A24,'Teilnehmende - Starters'!$C:$Z,M$11,0)))</f>
        <v/>
      </c>
      <c r="N24" s="17"/>
      <c r="O24" s="1" t="str">
        <f>IF(ISERROR(SMALL('Teilnehmende - Starters'!$D$81:$D$156,ROW(A10))),"",SMALL('Teilnehmende - Starters'!$D$81:$D$156,ROW(A10)))</f>
        <v/>
      </c>
      <c r="P24" s="1" t="str">
        <f>IF($O24="","",IF(VLOOKUP($O24,'Teilnehmende - Starters'!$D:$Z,P$11,0)="","",
IF(RIGHT(VLOOKUP($O24,'Teilnehmende - Starters'!$D:$Z,P$11,0),1)=" ",LEFT(VLOOKUP($O24,'Teilnehmende - Starters'!$D:$Z,P$11,0),LEN(VLOOKUP($O24,'Teilnehmende - Starters'!$D:$Z,P$11,0))-1),
VLOOKUP($O24,'Teilnehmende - Starters'!$D:$Z,P$11,0))))</f>
        <v/>
      </c>
      <c r="Q24" s="1" t="str">
        <f>IF($O24="","",IF(VLOOKUP($O24,'Teilnehmende - Starters'!$D:$Z,Q$11,0)="","",
IF(RIGHT(VLOOKUP($O24,'Teilnehmende - Starters'!$D:$Z,Q$11,0),1)=" ",LEFT(VLOOKUP($O24,'Teilnehmende - Starters'!$D:$Z,Q$11,0),LEN(VLOOKUP($O24,'Teilnehmende - Starters'!$D:$Z,Q$11,0))-1),
VLOOKUP($O24,'Teilnehmende - Starters'!$D:$Z,Q$11,0))))</f>
        <v/>
      </c>
      <c r="R24" s="1" t="str">
        <f t="shared" si="19"/>
        <v/>
      </c>
      <c r="S24" s="1" t="str">
        <f>IF($O24="","",IF(VLOOKUP($O24,'Teilnehmende - Starters'!$D:$Z,S$11,0)="","",VLOOKUP($O24,'Teilnehmende - Starters'!$D:$Z,S$11,0)))</f>
        <v/>
      </c>
      <c r="T24" s="1" t="str">
        <f>IF($O24="","",IF(VLOOKUP($O24,'Teilnehmende - Starters'!$D:$Z,T$11,0)="","",VLOOKUP($O24,'Teilnehmende - Starters'!$D:$Z,T$11,0)))</f>
        <v/>
      </c>
      <c r="U24" s="1" t="str">
        <f>IF($O24="","",IF(VLOOKUP(O24,'Teilnehmende - Starters'!$C:$I,7,0)="w",IF(OR(S24=20,S24=19),"DE","ME"),IF(OR(S24=20,S24=19),"HE","JE")))</f>
        <v/>
      </c>
      <c r="V24" s="1" t="str">
        <f t="shared" si="20"/>
        <v/>
      </c>
      <c r="W24" s="17"/>
      <c r="X24" s="1" t="str">
        <f>IF(ISERROR(SMALL('Teilnehmende - Starters'!$E$81:$E$156,ROW(A10))),"",SMALL('Teilnehmende - Starters'!$E$81:$E$156,ROW(A10)))</f>
        <v/>
      </c>
      <c r="Y24" s="1" t="str">
        <f>IF(X24="","",VLOOKUP(X24,'Teilnehmende - Starters'!$C:$Z,5,0)&amp;" "&amp;VLOOKUP(X24,'Teilnehmende - Starters'!$C:$Z,6,0))</f>
        <v/>
      </c>
      <c r="Z24" s="1" t="str">
        <f t="shared" si="21"/>
        <v/>
      </c>
      <c r="AA24" s="1" t="str">
        <f>IF(X24="","",IF(VLOOKUP(X24,'Teilnehmende - Starters'!$C:$Z,18,0)="Freimeldung",$A$2*100+99,VLOOKUP(Y24,'Teilnehmende - Starters'!$AA$5:$AD$80,4,FALSE)))</f>
        <v/>
      </c>
      <c r="AB24" s="1" t="str">
        <f>IF(AA24="","",IF(VLOOKUP(X24,'Teilnehmende - Starters'!$C:$Z,18,0)="Freimeldung","Freimeldung",VLOOKUP(AA24,$A$15:$E$77,4,0)&amp;" "&amp;VLOOKUP(AA24,$A$15:$E$77,5,0)))</f>
        <v/>
      </c>
      <c r="AC24" s="1" t="str">
        <f>IF(AA24="","",IF(VLOOKUP(X24,'Teilnehmende - Starters'!$C:$Z,18,0)="Freimeldung","",VLOOKUP(AA24,$A$15:$C$77,3,0)))</f>
        <v/>
      </c>
      <c r="AD24" s="1" t="str">
        <f>IF($X24="","",IF(VLOOKUP($X24,'Teilnehmende - Starters'!$C:$Z,AD$11,0)="","",VLOOKUP($X24,'Teilnehmende - Starters'!$C:$Z,AD$11,0)))</f>
        <v/>
      </c>
      <c r="AE24" s="1" t="str">
        <f>IF($X24="","",IF(VLOOKUP($X24,'Teilnehmende - Starters'!$C:$Z,AE$11,0)="","",VLOOKUP($X24,'Teilnehmende - Starters'!$C:$Z,AE$11,0)))</f>
        <v/>
      </c>
      <c r="AF24" s="1" t="str">
        <f>IF($X24="","",IF(VLOOKUP(X24,'Teilnehmende - Starters'!$C:$I,7,0)="w",IF(OR(AD24=20,AD24=19),"DD","MD"),IF(OR(AD24=20,AD24=19),"HD","JD")))</f>
        <v/>
      </c>
      <c r="AG24" s="1" t="str">
        <f t="shared" si="22"/>
        <v/>
      </c>
      <c r="AH24" s="17"/>
      <c r="AI24" s="1" t="str">
        <f>IF(ISERROR(SMALL('Teilnehmende - Starters'!$F$81:$F$156,ROW(P10))),"",SMALL('Teilnehmende - Starters'!$F$81:$F$156,ROW(P10)))</f>
        <v/>
      </c>
      <c r="AJ24" s="1" t="str">
        <f>IF(AI24="","",VLOOKUP(AI24,'Teilnehmende - Starters'!$C:$Z,5,0)&amp;" "&amp;VLOOKUP(AI24,'Teilnehmende - Starters'!$C:$Z,6,0))</f>
        <v/>
      </c>
      <c r="AK24" s="1" t="str">
        <f t="shared" si="23"/>
        <v/>
      </c>
      <c r="AL24" s="1" t="str">
        <f>IF(AI24="","",IF(VLOOKUP(AI24,'Teilnehmende - Starters'!$C:$AN,21,0)="Freimeldung",$A$2*100+99,VLOOKUP(AJ24,'Teilnehmende - Starters'!$AB$5:$AD$80,3,FALSE)))</f>
        <v/>
      </c>
      <c r="AM24" s="1" t="str">
        <f>IF(AL24="","",IF(VLOOKUP(AI24,'Teilnehmende - Starters'!$C:$Z,21,0)="Freimeldung","Freimeldung",VLOOKUP(AL24,$A$15:$E$77,4,0)&amp;" "&amp;VLOOKUP(AL24,$A$15:$E$77,5,0)))</f>
        <v/>
      </c>
      <c r="AN24" s="1" t="str">
        <f>IF(AL24="","",IF(VLOOKUP(AI24,'Teilnehmende - Starters'!$C:$Z,21,0)="Freimeldung","",VLOOKUP(AL24,$A$15:$C$77,3,0)))</f>
        <v/>
      </c>
      <c r="AO24" s="1" t="str">
        <f>IF($AI24="","",IF(VLOOKUP($AI24,'Teilnehmende - Starters'!$C:$Z,AO$11,0)="","",VLOOKUP($AI24,'Teilnehmende - Starters'!$C:$Z,AO$11,0)))</f>
        <v/>
      </c>
      <c r="AP24" s="1" t="str">
        <f>IF($AI24="","",IF(VLOOKUP($AI24,'Teilnehmende - Starters'!$C:$Z,AP$11,0)="","",VLOOKUP($AI24,'Teilnehmende - Starters'!$C:$Z,AP$11,0)))</f>
        <v/>
      </c>
      <c r="AQ24" s="1" t="str">
        <f t="shared" si="17"/>
        <v/>
      </c>
      <c r="AR24" s="1" t="str">
        <f t="shared" si="24"/>
        <v/>
      </c>
    </row>
    <row r="25" spans="1:44" x14ac:dyDescent="0.3">
      <c r="A25" s="1" t="str">
        <f>IF(ISERROR(SMALL('Teilnehmende - Starters'!$C$81:$C$156,ROW(A11))),"",SMALL('Teilnehmende - Starters'!$C$81:$C$156,ROW(A11)))</f>
        <v/>
      </c>
      <c r="B25" s="1" t="str">
        <f>IF($A25="","",IF(VLOOKUP($A25,'Teilnehmende - Starters'!$C:$Z,B$11,0)="","",SUBSTITUTE(VLOOKUP($A25,'Teilnehmende - Starters'!$C:$Z,B$11,0)," ","")))</f>
        <v/>
      </c>
      <c r="C25" s="1" t="str">
        <f>IF(A25="","",VLOOKUP(INT(A25/100),'Vereine - Clubs'!$C:$H,4,0))</f>
        <v/>
      </c>
      <c r="D25" s="1" t="str">
        <f>IF($A25="","",IF(VLOOKUP($A25,'Teilnehmende - Starters'!$C:$Z,D$11,0)="","",
IF(RIGHT(VLOOKUP($A25,'Teilnehmende - Starters'!$C:$Z,D$11,0),1)=" ",LEFT(VLOOKUP($A25,'Teilnehmende - Starters'!$C:$Z,D$11,0),LEN(VLOOKUP($A25,'Teilnehmende - Starters'!$C:$Z,D$11,0))-1),
VLOOKUP($A25,'Teilnehmende - Starters'!$C:$Z,D$11,0))))</f>
        <v/>
      </c>
      <c r="E25" s="1" t="str">
        <f>IF($A25="","",IF(VLOOKUP($A25,'Teilnehmende - Starters'!$C:$Z,E$11,0)="","",
IF(RIGHT(VLOOKUP($A25,'Teilnehmende - Starters'!$C:$Z,E$11,0),1)=" ",LEFT(VLOOKUP($A25,'Teilnehmende - Starters'!$C:$Z,E$11,0),LEN(VLOOKUP($A25,'Teilnehmende - Starters'!$C:$Z,E$11,0))-1),
VLOOKUP($A25,'Teilnehmende - Starters'!$C:$Z,E$11,0))))</f>
        <v/>
      </c>
      <c r="F25" s="72" t="str">
        <f>IF($A25="","",IF(VLOOKUP($A25,'Teilnehmende - Starters'!$C:$Z,F$11,0)="","",VLOOKUP($A25,'Teilnehmende - Starters'!$C:$Z,F$11,0)))</f>
        <v/>
      </c>
      <c r="G25" s="1" t="str">
        <f>IF($A25="","",IF(VLOOKUP($A25,'Teilnehmende - Starters'!$C:$Z,G$11,0)="","",VLOOKUP($A25,'Teilnehmende - Starters'!$C:$Z,G$11,0)))</f>
        <v/>
      </c>
      <c r="H25" s="1" t="str">
        <f>IF($A25="","",IF(VLOOKUP($A25,'Teilnehmende - Starters'!$C:$Z,H$11,0)="","",VLOOKUP($A25,'Teilnehmende - Starters'!$C:$Z,H$11,0)))</f>
        <v/>
      </c>
      <c r="I25" s="1" t="str">
        <f>IF($A25="","",IF(VLOOKUP($A25,'Teilnehmende - Starters'!$C:$Z,I$11,0)="","",VLOOKUP($A25,'Teilnehmende - Starters'!$C:$Z,I$11,0)))</f>
        <v/>
      </c>
      <c r="J25" s="1" t="str">
        <f>IF($A25="","",IF(VLOOKUP($A25,'Teilnehmende - Starters'!$C:$Z,J$11,0)="","",VLOOKUP($A25,'Teilnehmende - Starters'!$C:$Z,J$11,0)))</f>
        <v/>
      </c>
      <c r="K25" s="1" t="str">
        <f>IF($A25="","",IF(VLOOKUP($A25,'Teilnehmende - Starters'!$C:$Z,K$11,0)="","",VLOOKUP($A25,'Teilnehmende - Starters'!$C:$Z,K$11,0)))</f>
        <v/>
      </c>
      <c r="L25" s="1" t="str">
        <f>IF($A25="","",IF(VLOOKUP($A25,'Teilnehmende - Starters'!$C:$Z,L$11,0)="","",VLOOKUP($A25,'Teilnehmende - Starters'!$C:$Z,L$11,0)))</f>
        <v/>
      </c>
      <c r="M25" s="1" t="str">
        <f>IF($A25="","",IF(VLOOKUP($A25,'Teilnehmende - Starters'!$C:$Z,M$11,0)="","",VLOOKUP($A25,'Teilnehmende - Starters'!$C:$Z,M$11,0)))</f>
        <v/>
      </c>
      <c r="N25" s="17"/>
      <c r="O25" s="1" t="str">
        <f>IF(ISERROR(SMALL('Teilnehmende - Starters'!$D$81:$D$156,ROW(A11))),"",SMALL('Teilnehmende - Starters'!$D$81:$D$156,ROW(A11)))</f>
        <v/>
      </c>
      <c r="P25" s="1" t="str">
        <f>IF($O25="","",IF(VLOOKUP($O25,'Teilnehmende - Starters'!$D:$Z,P$11,0)="","",
IF(RIGHT(VLOOKUP($O25,'Teilnehmende - Starters'!$D:$Z,P$11,0),1)=" ",LEFT(VLOOKUP($O25,'Teilnehmende - Starters'!$D:$Z,P$11,0),LEN(VLOOKUP($O25,'Teilnehmende - Starters'!$D:$Z,P$11,0))-1),
VLOOKUP($O25,'Teilnehmende - Starters'!$D:$Z,P$11,0))))</f>
        <v/>
      </c>
      <c r="Q25" s="1" t="str">
        <f>IF($O25="","",IF(VLOOKUP($O25,'Teilnehmende - Starters'!$D:$Z,Q$11,0)="","",
IF(RIGHT(VLOOKUP($O25,'Teilnehmende - Starters'!$D:$Z,Q$11,0),1)=" ",LEFT(VLOOKUP($O25,'Teilnehmende - Starters'!$D:$Z,Q$11,0),LEN(VLOOKUP($O25,'Teilnehmende - Starters'!$D:$Z,Q$11,0))-1),
VLOOKUP($O25,'Teilnehmende - Starters'!$D:$Z,Q$11,0))))</f>
        <v/>
      </c>
      <c r="R25" s="1" t="str">
        <f t="shared" si="19"/>
        <v/>
      </c>
      <c r="S25" s="1" t="str">
        <f>IF($O25="","",IF(VLOOKUP($O25,'Teilnehmende - Starters'!$D:$Z,S$11,0)="","",VLOOKUP($O25,'Teilnehmende - Starters'!$D:$Z,S$11,0)))</f>
        <v/>
      </c>
      <c r="T25" s="1" t="str">
        <f>IF($O25="","",IF(VLOOKUP($O25,'Teilnehmende - Starters'!$D:$Z,T$11,0)="","",VLOOKUP($O25,'Teilnehmende - Starters'!$D:$Z,T$11,0)))</f>
        <v/>
      </c>
      <c r="U25" s="1" t="str">
        <f>IF($O25="","",IF(VLOOKUP(O25,'Teilnehmende - Starters'!$C:$I,7,0)="w",IF(OR(S25=20,S25=19),"DE","ME"),IF(OR(S25=20,S25=19),"HE","JE")))</f>
        <v/>
      </c>
      <c r="V25" s="1" t="str">
        <f t="shared" si="20"/>
        <v/>
      </c>
      <c r="W25" s="17"/>
      <c r="X25" s="1" t="str">
        <f>IF(ISERROR(SMALL('Teilnehmende - Starters'!$E$81:$E$156,ROW(A11))),"",SMALL('Teilnehmende - Starters'!$E$81:$E$156,ROW(A11)))</f>
        <v/>
      </c>
      <c r="Y25" s="1" t="str">
        <f>IF(X25="","",VLOOKUP(X25,'Teilnehmende - Starters'!$C:$Z,5,0)&amp;" "&amp;VLOOKUP(X25,'Teilnehmende - Starters'!$C:$Z,6,0))</f>
        <v/>
      </c>
      <c r="Z25" s="1" t="str">
        <f t="shared" si="21"/>
        <v/>
      </c>
      <c r="AA25" s="1" t="str">
        <f>IF(X25="","",IF(VLOOKUP(X25,'Teilnehmende - Starters'!$C:$Z,18,0)="Freimeldung",$A$2*100+99,VLOOKUP(Y25,'Teilnehmende - Starters'!$AA$5:$AD$80,4,FALSE)))</f>
        <v/>
      </c>
      <c r="AB25" s="1" t="str">
        <f>IF(AA25="","",IF(VLOOKUP(X25,'Teilnehmende - Starters'!$C:$Z,18,0)="Freimeldung","Freimeldung",VLOOKUP(AA25,$A$15:$E$77,4,0)&amp;" "&amp;VLOOKUP(AA25,$A$15:$E$77,5,0)))</f>
        <v/>
      </c>
      <c r="AC25" s="1" t="str">
        <f>IF(AA25="","",IF(VLOOKUP(X25,'Teilnehmende - Starters'!$C:$Z,18,0)="Freimeldung","",VLOOKUP(AA25,$A$15:$C$77,3,0)))</f>
        <v/>
      </c>
      <c r="AD25" s="1" t="str">
        <f>IF($X25="","",IF(VLOOKUP($X25,'Teilnehmende - Starters'!$C:$Z,AD$11,0)="","",VLOOKUP($X25,'Teilnehmende - Starters'!$C:$Z,AD$11,0)))</f>
        <v/>
      </c>
      <c r="AE25" s="1" t="str">
        <f>IF($X25="","",IF(VLOOKUP($X25,'Teilnehmende - Starters'!$C:$Z,AE$11,0)="","",VLOOKUP($X25,'Teilnehmende - Starters'!$C:$Z,AE$11,0)))</f>
        <v/>
      </c>
      <c r="AF25" s="1" t="str">
        <f>IF($X25="","",IF(VLOOKUP(X25,'Teilnehmende - Starters'!$C:$I,7,0)="w",IF(OR(AD25=20,AD25=19),"DD","MD"),IF(OR(AD25=20,AD25=19),"HD","JD")))</f>
        <v/>
      </c>
      <c r="AG25" s="1" t="str">
        <f t="shared" si="22"/>
        <v/>
      </c>
      <c r="AH25" s="17"/>
      <c r="AI25" s="1" t="str">
        <f>IF(ISERROR(SMALL('Teilnehmende - Starters'!$F$81:$F$156,ROW(#REF!))),"",SMALL('Teilnehmende - Starters'!$F$81:$F$156,ROW(#REF!)))</f>
        <v/>
      </c>
      <c r="AJ25" s="1" t="str">
        <f>IF(AI25="","",VLOOKUP(AI25,'Teilnehmende - Starters'!$C:$Z,5,0)&amp;" "&amp;VLOOKUP(AI25,'Teilnehmende - Starters'!$C:$Z,6,0))</f>
        <v/>
      </c>
      <c r="AK25" s="1" t="str">
        <f t="shared" si="23"/>
        <v/>
      </c>
      <c r="AL25" s="1" t="str">
        <f>IF(AI25="","",IF(VLOOKUP(AI25,'Teilnehmende - Starters'!$C:$AN,21,0)="Freimeldung",$A$2*100+99,VLOOKUP(AJ25,'Teilnehmende - Starters'!$AB$5:$AD$80,3,FALSE)))</f>
        <v/>
      </c>
      <c r="AM25" s="1" t="str">
        <f>IF(AL25="","",IF(VLOOKUP(AI25,'Teilnehmende - Starters'!$C:$Z,21,0)="Freimeldung","Freimeldung",VLOOKUP(AL25,$A$15:$E$77,4,0)&amp;" "&amp;VLOOKUP(AL25,$A$15:$E$77,5,0)))</f>
        <v/>
      </c>
      <c r="AN25" s="1" t="str">
        <f>IF(AL25="","",IF(VLOOKUP(AI25,'Teilnehmende - Starters'!$C:$Z,21,0)="Freimeldung","",VLOOKUP(AL25,$A$15:$C$77,3,0)))</f>
        <v/>
      </c>
      <c r="AO25" s="1" t="str">
        <f>IF($AI25="","",IF(VLOOKUP($AI25,'Teilnehmende - Starters'!$C:$Z,AO$11,0)="","",VLOOKUP($AI25,'Teilnehmende - Starters'!$C:$Z,AO$11,0)))</f>
        <v/>
      </c>
      <c r="AP25" s="1" t="str">
        <f>IF($AI25="","",IF(VLOOKUP($AI25,'Teilnehmende - Starters'!$C:$Z,AP$11,0)="","",VLOOKUP($AI25,'Teilnehmende - Starters'!$C:$Z,AP$11,0)))</f>
        <v/>
      </c>
      <c r="AQ25" s="1" t="str">
        <f t="shared" si="17"/>
        <v/>
      </c>
      <c r="AR25" s="1" t="str">
        <f t="shared" si="24"/>
        <v/>
      </c>
    </row>
    <row r="26" spans="1:44" x14ac:dyDescent="0.3">
      <c r="A26" s="1" t="str">
        <f>IF(ISERROR(SMALL('Teilnehmende - Starters'!$C$81:$C$156,ROW(A12))),"",SMALL('Teilnehmende - Starters'!$C$81:$C$156,ROW(A12)))</f>
        <v/>
      </c>
      <c r="B26" s="1" t="str">
        <f>IF($A26="","",IF(VLOOKUP($A26,'Teilnehmende - Starters'!$C:$Z,B$11,0)="","",SUBSTITUTE(VLOOKUP($A26,'Teilnehmende - Starters'!$C:$Z,B$11,0)," ","")))</f>
        <v/>
      </c>
      <c r="C26" s="1" t="str">
        <f>IF(A26="","",VLOOKUP(INT(A26/100),'Vereine - Clubs'!$C:$H,4,0))</f>
        <v/>
      </c>
      <c r="D26" s="1" t="str">
        <f>IF($A26="","",IF(VLOOKUP($A26,'Teilnehmende - Starters'!$C:$Z,D$11,0)="","",
IF(RIGHT(VLOOKUP($A26,'Teilnehmende - Starters'!$C:$Z,D$11,0),1)=" ",LEFT(VLOOKUP($A26,'Teilnehmende - Starters'!$C:$Z,D$11,0),LEN(VLOOKUP($A26,'Teilnehmende - Starters'!$C:$Z,D$11,0))-1),
VLOOKUP($A26,'Teilnehmende - Starters'!$C:$Z,D$11,0))))</f>
        <v/>
      </c>
      <c r="E26" s="1" t="str">
        <f>IF($A26="","",IF(VLOOKUP($A26,'Teilnehmende - Starters'!$C:$Z,E$11,0)="","",
IF(RIGHT(VLOOKUP($A26,'Teilnehmende - Starters'!$C:$Z,E$11,0),1)=" ",LEFT(VLOOKUP($A26,'Teilnehmende - Starters'!$C:$Z,E$11,0),LEN(VLOOKUP($A26,'Teilnehmende - Starters'!$C:$Z,E$11,0))-1),
VLOOKUP($A26,'Teilnehmende - Starters'!$C:$Z,E$11,0))))</f>
        <v/>
      </c>
      <c r="F26" s="72" t="str">
        <f>IF($A26="","",IF(VLOOKUP($A26,'Teilnehmende - Starters'!$C:$Z,F$11,0)="","",VLOOKUP($A26,'Teilnehmende - Starters'!$C:$Z,F$11,0)))</f>
        <v/>
      </c>
      <c r="G26" s="1" t="str">
        <f>IF($A26="","",IF(VLOOKUP($A26,'Teilnehmende - Starters'!$C:$Z,G$11,0)="","",VLOOKUP($A26,'Teilnehmende - Starters'!$C:$Z,G$11,0)))</f>
        <v/>
      </c>
      <c r="H26" s="1" t="str">
        <f>IF($A26="","",IF(VLOOKUP($A26,'Teilnehmende - Starters'!$C:$Z,H$11,0)="","",VLOOKUP($A26,'Teilnehmende - Starters'!$C:$Z,H$11,0)))</f>
        <v/>
      </c>
      <c r="I26" s="1" t="str">
        <f>IF($A26="","",IF(VLOOKUP($A26,'Teilnehmende - Starters'!$C:$Z,I$11,0)="","",VLOOKUP($A26,'Teilnehmende - Starters'!$C:$Z,I$11,0)))</f>
        <v/>
      </c>
      <c r="J26" s="1" t="str">
        <f>IF($A26="","",IF(VLOOKUP($A26,'Teilnehmende - Starters'!$C:$Z,J$11,0)="","",VLOOKUP($A26,'Teilnehmende - Starters'!$C:$Z,J$11,0)))</f>
        <v/>
      </c>
      <c r="K26" s="1" t="str">
        <f>IF($A26="","",IF(VLOOKUP($A26,'Teilnehmende - Starters'!$C:$Z,K$11,0)="","",VLOOKUP($A26,'Teilnehmende - Starters'!$C:$Z,K$11,0)))</f>
        <v/>
      </c>
      <c r="L26" s="1" t="str">
        <f>IF($A26="","",IF(VLOOKUP($A26,'Teilnehmende - Starters'!$C:$Z,L$11,0)="","",VLOOKUP($A26,'Teilnehmende - Starters'!$C:$Z,L$11,0)))</f>
        <v/>
      </c>
      <c r="M26" s="1" t="str">
        <f>IF($A26="","",IF(VLOOKUP($A26,'Teilnehmende - Starters'!$C:$Z,M$11,0)="","",VLOOKUP($A26,'Teilnehmende - Starters'!$C:$Z,M$11,0)))</f>
        <v/>
      </c>
      <c r="N26" s="17"/>
      <c r="O26" s="1" t="str">
        <f>IF(ISERROR(SMALL('Teilnehmende - Starters'!$D$81:$D$156,ROW(A12))),"",SMALL('Teilnehmende - Starters'!$D$81:$D$156,ROW(A12)))</f>
        <v/>
      </c>
      <c r="P26" s="1" t="str">
        <f>IF($O26="","",IF(VLOOKUP($O26,'Teilnehmende - Starters'!$D:$Z,P$11,0)="","",
IF(RIGHT(VLOOKUP($O26,'Teilnehmende - Starters'!$D:$Z,P$11,0),1)=" ",LEFT(VLOOKUP($O26,'Teilnehmende - Starters'!$D:$Z,P$11,0),LEN(VLOOKUP($O26,'Teilnehmende - Starters'!$D:$Z,P$11,0))-1),
VLOOKUP($O26,'Teilnehmende - Starters'!$D:$Z,P$11,0))))</f>
        <v/>
      </c>
      <c r="Q26" s="1" t="str">
        <f>IF($O26="","",IF(VLOOKUP($O26,'Teilnehmende - Starters'!$D:$Z,Q$11,0)="","",
IF(RIGHT(VLOOKUP($O26,'Teilnehmende - Starters'!$D:$Z,Q$11,0),1)=" ",LEFT(VLOOKUP($O26,'Teilnehmende - Starters'!$D:$Z,Q$11,0),LEN(VLOOKUP($O26,'Teilnehmende - Starters'!$D:$Z,Q$11,0))-1),
VLOOKUP($O26,'Teilnehmende - Starters'!$D:$Z,Q$11,0))))</f>
        <v/>
      </c>
      <c r="R26" s="1" t="str">
        <f t="shared" si="19"/>
        <v/>
      </c>
      <c r="S26" s="1" t="str">
        <f>IF($O26="","",IF(VLOOKUP($O26,'Teilnehmende - Starters'!$D:$Z,S$11,0)="","",VLOOKUP($O26,'Teilnehmende - Starters'!$D:$Z,S$11,0)))</f>
        <v/>
      </c>
      <c r="T26" s="1" t="str">
        <f>IF($O26="","",IF(VLOOKUP($O26,'Teilnehmende - Starters'!$D:$Z,T$11,0)="","",VLOOKUP($O26,'Teilnehmende - Starters'!$D:$Z,T$11,0)))</f>
        <v/>
      </c>
      <c r="U26" s="1" t="str">
        <f>IF($O26="","",IF(VLOOKUP(O26,'Teilnehmende - Starters'!$C:$I,7,0)="w",IF(OR(S26=20,S26=19),"DE","ME"),IF(OR(S26=20,S26=19),"HE","JE")))</f>
        <v/>
      </c>
      <c r="V26" s="1" t="str">
        <f t="shared" si="20"/>
        <v/>
      </c>
      <c r="W26" s="17"/>
      <c r="X26" s="1" t="str">
        <f>IF(ISERROR(SMALL('Teilnehmende - Starters'!$E$81:$E$156,ROW(A12))),"",SMALL('Teilnehmende - Starters'!$E$81:$E$156,ROW(A12)))</f>
        <v/>
      </c>
      <c r="Y26" s="1" t="str">
        <f>IF(X26="","",VLOOKUP(X26,'Teilnehmende - Starters'!$C:$Z,5,0)&amp;" "&amp;VLOOKUP(X26,'Teilnehmende - Starters'!$C:$Z,6,0))</f>
        <v/>
      </c>
      <c r="Z26" s="1" t="str">
        <f t="shared" si="21"/>
        <v/>
      </c>
      <c r="AA26" s="1" t="str">
        <f>IF(X26="","",IF(VLOOKUP(X26,'Teilnehmende - Starters'!$C:$Z,18,0)="Freimeldung",$A$2*100+99,VLOOKUP(Y26,'Teilnehmende - Starters'!$AA$5:$AD$80,4,FALSE)))</f>
        <v/>
      </c>
      <c r="AB26" s="1" t="str">
        <f>IF(AA26="","",IF(VLOOKUP(X26,'Teilnehmende - Starters'!$C:$Z,18,0)="Freimeldung","Freimeldung",VLOOKUP(AA26,$A$15:$E$77,4,0)&amp;" "&amp;VLOOKUP(AA26,$A$15:$E$77,5,0)))</f>
        <v/>
      </c>
      <c r="AC26" s="1" t="str">
        <f>IF(AA26="","",IF(VLOOKUP(X26,'Teilnehmende - Starters'!$C:$Z,18,0)="Freimeldung","",VLOOKUP(AA26,$A$15:$C$77,3,0)))</f>
        <v/>
      </c>
      <c r="AD26" s="1" t="str">
        <f>IF($X26="","",IF(VLOOKUP($X26,'Teilnehmende - Starters'!$C:$Z,AD$11,0)="","",VLOOKUP($X26,'Teilnehmende - Starters'!$C:$Z,AD$11,0)))</f>
        <v/>
      </c>
      <c r="AE26" s="1" t="str">
        <f>IF($X26="","",IF(VLOOKUP($X26,'Teilnehmende - Starters'!$C:$Z,AE$11,0)="","",VLOOKUP($X26,'Teilnehmende - Starters'!$C:$Z,AE$11,0)))</f>
        <v/>
      </c>
      <c r="AF26" s="1" t="str">
        <f>IF($X26="","",IF(VLOOKUP(X26,'Teilnehmende - Starters'!$C:$I,7,0)="w",IF(OR(AD26=20,AD26=19),"DD","MD"),IF(OR(AD26=20,AD26=19),"HD","JD")))</f>
        <v/>
      </c>
      <c r="AG26" s="1" t="str">
        <f t="shared" si="22"/>
        <v/>
      </c>
      <c r="AH26" s="17"/>
      <c r="AI26" s="1" t="str">
        <f>IF(ISERROR(SMALL('Teilnehmende - Starters'!$F$81:$F$156,ROW(#REF!))),"",SMALL('Teilnehmende - Starters'!$F$81:$F$156,ROW(#REF!)))</f>
        <v/>
      </c>
      <c r="AJ26" s="1" t="str">
        <f>IF(AI26="","",VLOOKUP(AI26,'Teilnehmende - Starters'!$C:$Z,5,0)&amp;" "&amp;VLOOKUP(AI26,'Teilnehmende - Starters'!$C:$Z,6,0))</f>
        <v/>
      </c>
      <c r="AK26" s="1" t="str">
        <f t="shared" si="23"/>
        <v/>
      </c>
      <c r="AL26" s="1" t="str">
        <f>IF(AI26="","",IF(VLOOKUP(AI26,'Teilnehmende - Starters'!$C:$AN,21,0)="Freimeldung",$A$2*100+99,VLOOKUP(AJ26,'Teilnehmende - Starters'!$AB$5:$AD$80,3,FALSE)))</f>
        <v/>
      </c>
      <c r="AM26" s="1" t="str">
        <f>IF(AL26="","",IF(VLOOKUP(AI26,'Teilnehmende - Starters'!$C:$Z,21,0)="Freimeldung","Freimeldung",VLOOKUP(AL26,$A$15:$E$77,4,0)&amp;" "&amp;VLOOKUP(AL26,$A$15:$E$77,5,0)))</f>
        <v/>
      </c>
      <c r="AN26" s="1" t="str">
        <f>IF(AL26="","",IF(VLOOKUP(AI26,'Teilnehmende - Starters'!$C:$Z,21,0)="Freimeldung","",VLOOKUP(AL26,$A$15:$C$77,3,0)))</f>
        <v/>
      </c>
      <c r="AO26" s="1" t="str">
        <f>IF($AI26="","",IF(VLOOKUP($AI26,'Teilnehmende - Starters'!$C:$Z,AO$11,0)="","",VLOOKUP($AI26,'Teilnehmende - Starters'!$C:$Z,AO$11,0)))</f>
        <v/>
      </c>
      <c r="AP26" s="1" t="str">
        <f>IF($AI26="","",IF(VLOOKUP($AI26,'Teilnehmende - Starters'!$C:$Z,AP$11,0)="","",VLOOKUP($AI26,'Teilnehmende - Starters'!$C:$Z,AP$11,0)))</f>
        <v/>
      </c>
      <c r="AQ26" s="1" t="str">
        <f t="shared" si="17"/>
        <v/>
      </c>
      <c r="AR26" s="1" t="str">
        <f t="shared" si="24"/>
        <v/>
      </c>
    </row>
    <row r="27" spans="1:44" x14ac:dyDescent="0.3">
      <c r="A27" s="1" t="str">
        <f>IF(ISERROR(SMALL('Teilnehmende - Starters'!$C$81:$C$156,ROW(A13))),"",SMALL('Teilnehmende - Starters'!$C$81:$C$156,ROW(A13)))</f>
        <v/>
      </c>
      <c r="B27" s="1" t="str">
        <f>IF($A27="","",IF(VLOOKUP($A27,'Teilnehmende - Starters'!$C:$Z,B$11,0)="","",SUBSTITUTE(VLOOKUP($A27,'Teilnehmende - Starters'!$C:$Z,B$11,0)," ","")))</f>
        <v/>
      </c>
      <c r="C27" s="1" t="str">
        <f>IF(A27="","",VLOOKUP(INT(A27/100),'Vereine - Clubs'!$C:$H,4,0))</f>
        <v/>
      </c>
      <c r="D27" s="1" t="str">
        <f>IF($A27="","",IF(VLOOKUP($A27,'Teilnehmende - Starters'!$C:$Z,D$11,0)="","",
IF(RIGHT(VLOOKUP($A27,'Teilnehmende - Starters'!$C:$Z,D$11,0),1)=" ",LEFT(VLOOKUP($A27,'Teilnehmende - Starters'!$C:$Z,D$11,0),LEN(VLOOKUP($A27,'Teilnehmende - Starters'!$C:$Z,D$11,0))-1),
VLOOKUP($A27,'Teilnehmende - Starters'!$C:$Z,D$11,0))))</f>
        <v/>
      </c>
      <c r="E27" s="1" t="str">
        <f>IF($A27="","",IF(VLOOKUP($A27,'Teilnehmende - Starters'!$C:$Z,E$11,0)="","",
IF(RIGHT(VLOOKUP($A27,'Teilnehmende - Starters'!$C:$Z,E$11,0),1)=" ",LEFT(VLOOKUP($A27,'Teilnehmende - Starters'!$C:$Z,E$11,0),LEN(VLOOKUP($A27,'Teilnehmende - Starters'!$C:$Z,E$11,0))-1),
VLOOKUP($A27,'Teilnehmende - Starters'!$C:$Z,E$11,0))))</f>
        <v/>
      </c>
      <c r="F27" s="72" t="str">
        <f>IF($A27="","",IF(VLOOKUP($A27,'Teilnehmende - Starters'!$C:$Z,F$11,0)="","",VLOOKUP($A27,'Teilnehmende - Starters'!$C:$Z,F$11,0)))</f>
        <v/>
      </c>
      <c r="G27" s="1" t="str">
        <f>IF($A27="","",IF(VLOOKUP($A27,'Teilnehmende - Starters'!$C:$Z,G$11,0)="","",VLOOKUP($A27,'Teilnehmende - Starters'!$C:$Z,G$11,0)))</f>
        <v/>
      </c>
      <c r="H27" s="1" t="str">
        <f>IF($A27="","",IF(VLOOKUP($A27,'Teilnehmende - Starters'!$C:$Z,H$11,0)="","",VLOOKUP($A27,'Teilnehmende - Starters'!$C:$Z,H$11,0)))</f>
        <v/>
      </c>
      <c r="I27" s="1" t="str">
        <f>IF($A27="","",IF(VLOOKUP($A27,'Teilnehmende - Starters'!$C:$Z,I$11,0)="","",VLOOKUP($A27,'Teilnehmende - Starters'!$C:$Z,I$11,0)))</f>
        <v/>
      </c>
      <c r="J27" s="1" t="str">
        <f>IF($A27="","",IF(VLOOKUP($A27,'Teilnehmende - Starters'!$C:$Z,J$11,0)="","",VLOOKUP($A27,'Teilnehmende - Starters'!$C:$Z,J$11,0)))</f>
        <v/>
      </c>
      <c r="K27" s="1" t="str">
        <f>IF($A27="","",IF(VLOOKUP($A27,'Teilnehmende - Starters'!$C:$Z,K$11,0)="","",VLOOKUP($A27,'Teilnehmende - Starters'!$C:$Z,K$11,0)))</f>
        <v/>
      </c>
      <c r="L27" s="1" t="str">
        <f>IF($A27="","",IF(VLOOKUP($A27,'Teilnehmende - Starters'!$C:$Z,L$11,0)="","",VLOOKUP($A27,'Teilnehmende - Starters'!$C:$Z,L$11,0)))</f>
        <v/>
      </c>
      <c r="M27" s="1" t="str">
        <f>IF($A27="","",IF(VLOOKUP($A27,'Teilnehmende - Starters'!$C:$Z,M$11,0)="","",VLOOKUP($A27,'Teilnehmende - Starters'!$C:$Z,M$11,0)))</f>
        <v/>
      </c>
      <c r="N27" s="17"/>
      <c r="O27" s="1" t="str">
        <f>IF(ISERROR(SMALL('Teilnehmende - Starters'!$D$81:$D$156,ROW(A13))),"",SMALL('Teilnehmende - Starters'!$D$81:$D$156,ROW(A13)))</f>
        <v/>
      </c>
      <c r="P27" s="1" t="str">
        <f>IF($O27="","",IF(VLOOKUP($O27,'Teilnehmende - Starters'!$D:$Z,P$11,0)="","",
IF(RIGHT(VLOOKUP($O27,'Teilnehmende - Starters'!$D:$Z,P$11,0),1)=" ",LEFT(VLOOKUP($O27,'Teilnehmende - Starters'!$D:$Z,P$11,0),LEN(VLOOKUP($O27,'Teilnehmende - Starters'!$D:$Z,P$11,0))-1),
VLOOKUP($O27,'Teilnehmende - Starters'!$D:$Z,P$11,0))))</f>
        <v/>
      </c>
      <c r="Q27" s="1" t="str">
        <f>IF($O27="","",IF(VLOOKUP($O27,'Teilnehmende - Starters'!$D:$Z,Q$11,0)="","",
IF(RIGHT(VLOOKUP($O27,'Teilnehmende - Starters'!$D:$Z,Q$11,0),1)=" ",LEFT(VLOOKUP($O27,'Teilnehmende - Starters'!$D:$Z,Q$11,0),LEN(VLOOKUP($O27,'Teilnehmende - Starters'!$D:$Z,Q$11,0))-1),
VLOOKUP($O27,'Teilnehmende - Starters'!$D:$Z,Q$11,0))))</f>
        <v/>
      </c>
      <c r="R27" s="1" t="str">
        <f t="shared" si="19"/>
        <v/>
      </c>
      <c r="S27" s="1" t="str">
        <f>IF($O27="","",IF(VLOOKUP($O27,'Teilnehmende - Starters'!$D:$Z,S$11,0)="","",VLOOKUP($O27,'Teilnehmende - Starters'!$D:$Z,S$11,0)))</f>
        <v/>
      </c>
      <c r="T27" s="1" t="str">
        <f>IF($O27="","",IF(VLOOKUP($O27,'Teilnehmende - Starters'!$D:$Z,T$11,0)="","",VLOOKUP($O27,'Teilnehmende - Starters'!$D:$Z,T$11,0)))</f>
        <v/>
      </c>
      <c r="U27" s="1" t="str">
        <f>IF($O27="","",IF(VLOOKUP(O27,'Teilnehmende - Starters'!$C:$I,7,0)="w",IF(OR(S27=20,S27=19),"DE","ME"),IF(OR(S27=20,S27=19),"HE","JE")))</f>
        <v/>
      </c>
      <c r="V27" s="1" t="str">
        <f t="shared" si="20"/>
        <v/>
      </c>
      <c r="W27" s="17"/>
      <c r="X27" s="1" t="str">
        <f>IF(ISERROR(SMALL('Teilnehmende - Starters'!$E$81:$E$156,ROW(A13))),"",SMALL('Teilnehmende - Starters'!$E$81:$E$156,ROW(A13)))</f>
        <v/>
      </c>
      <c r="Y27" s="1" t="str">
        <f>IF(X27="","",VLOOKUP(X27,'Teilnehmende - Starters'!$C:$Z,5,0)&amp;" "&amp;VLOOKUP(X27,'Teilnehmende - Starters'!$C:$Z,6,0))</f>
        <v/>
      </c>
      <c r="Z27" s="1" t="str">
        <f t="shared" si="21"/>
        <v/>
      </c>
      <c r="AA27" s="1" t="str">
        <f>IF(X27="","",IF(VLOOKUP(X27,'Teilnehmende - Starters'!$C:$Z,18,0)="Freimeldung",$A$2*100+99,VLOOKUP(Y27,'Teilnehmende - Starters'!$AA$5:$AD$80,4,FALSE)))</f>
        <v/>
      </c>
      <c r="AB27" s="1" t="str">
        <f>IF(AA27="","",IF(VLOOKUP(X27,'Teilnehmende - Starters'!$C:$Z,18,0)="Freimeldung","Freimeldung",VLOOKUP(AA27,$A$15:$E$77,4,0)&amp;" "&amp;VLOOKUP(AA27,$A$15:$E$77,5,0)))</f>
        <v/>
      </c>
      <c r="AC27" s="1" t="str">
        <f>IF(AA27="","",IF(VLOOKUP(X27,'Teilnehmende - Starters'!$C:$Z,18,0)="Freimeldung","",VLOOKUP(AA27,$A$15:$C$77,3,0)))</f>
        <v/>
      </c>
      <c r="AD27" s="1" t="str">
        <f>IF($X27="","",IF(VLOOKUP($X27,'Teilnehmende - Starters'!$C:$Z,AD$11,0)="","",VLOOKUP($X27,'Teilnehmende - Starters'!$C:$Z,AD$11,0)))</f>
        <v/>
      </c>
      <c r="AE27" s="1" t="str">
        <f>IF($X27="","",IF(VLOOKUP($X27,'Teilnehmende - Starters'!$C:$Z,AE$11,0)="","",VLOOKUP($X27,'Teilnehmende - Starters'!$C:$Z,AE$11,0)))</f>
        <v/>
      </c>
      <c r="AF27" s="1" t="str">
        <f>IF($X27="","",IF(VLOOKUP(X27,'Teilnehmende - Starters'!$C:$I,7,0)="w",IF(OR(AD27=20,AD27=19),"DD","MD"),IF(OR(AD27=20,AD27=19),"HD","JD")))</f>
        <v/>
      </c>
      <c r="AG27" s="1" t="str">
        <f t="shared" si="22"/>
        <v/>
      </c>
      <c r="AH27" s="17"/>
      <c r="AI27" s="1" t="str">
        <f>IF(ISERROR(SMALL('Teilnehmende - Starters'!$F$81:$F$156,ROW(#REF!))),"",SMALL('Teilnehmende - Starters'!$F$81:$F$156,ROW(#REF!)))</f>
        <v/>
      </c>
      <c r="AJ27" s="1" t="str">
        <f>IF(AI27="","",VLOOKUP(AI27,'Teilnehmende - Starters'!$C:$Z,5,0)&amp;" "&amp;VLOOKUP(AI27,'Teilnehmende - Starters'!$C:$Z,6,0))</f>
        <v/>
      </c>
      <c r="AK27" s="1" t="str">
        <f t="shared" si="23"/>
        <v/>
      </c>
      <c r="AL27" s="1" t="str">
        <f>IF(AI27="","",IF(VLOOKUP(AI27,'Teilnehmende - Starters'!$C:$AN,21,0)="Freimeldung",$A$2*100+99,VLOOKUP(AJ27,'Teilnehmende - Starters'!$AB$5:$AD$80,3,FALSE)))</f>
        <v/>
      </c>
      <c r="AM27" s="1" t="str">
        <f>IF(AL27="","",IF(VLOOKUP(AI27,'Teilnehmende - Starters'!$C:$Z,21,0)="Freimeldung","Freimeldung",VLOOKUP(AL27,$A$15:$E$77,4,0)&amp;" "&amp;VLOOKUP(AL27,$A$15:$E$77,5,0)))</f>
        <v/>
      </c>
      <c r="AN27" s="1" t="str">
        <f>IF(AL27="","",IF(VLOOKUP(AI27,'Teilnehmende - Starters'!$C:$Z,21,0)="Freimeldung","",VLOOKUP(AL27,$A$15:$C$77,3,0)))</f>
        <v/>
      </c>
      <c r="AO27" s="1" t="str">
        <f>IF($AI27="","",IF(VLOOKUP($AI27,'Teilnehmende - Starters'!$C:$Z,AO$11,0)="","",VLOOKUP($AI27,'Teilnehmende - Starters'!$C:$Z,AO$11,0)))</f>
        <v/>
      </c>
      <c r="AP27" s="1" t="str">
        <f>IF($AI27="","",IF(VLOOKUP($AI27,'Teilnehmende - Starters'!$C:$Z,AP$11,0)="","",VLOOKUP($AI27,'Teilnehmende - Starters'!$C:$Z,AP$11,0)))</f>
        <v/>
      </c>
      <c r="AQ27" s="1" t="str">
        <f t="shared" si="17"/>
        <v/>
      </c>
      <c r="AR27" s="1" t="str">
        <f t="shared" si="24"/>
        <v/>
      </c>
    </row>
    <row r="28" spans="1:44" x14ac:dyDescent="0.3">
      <c r="A28" s="1" t="str">
        <f>IF(ISERROR(SMALL('Teilnehmende - Starters'!$C$81:$C$156,ROW(A14))),"",SMALL('Teilnehmende - Starters'!$C$81:$C$156,ROW(A14)))</f>
        <v/>
      </c>
      <c r="B28" s="1" t="str">
        <f>IF($A28="","",IF(VLOOKUP($A28,'Teilnehmende - Starters'!$C:$Z,B$11,0)="","",SUBSTITUTE(VLOOKUP($A28,'Teilnehmende - Starters'!$C:$Z,B$11,0)," ","")))</f>
        <v/>
      </c>
      <c r="C28" s="1" t="str">
        <f>IF(A28="","",VLOOKUP(INT(A28/100),'Vereine - Clubs'!$C:$H,4,0))</f>
        <v/>
      </c>
      <c r="D28" s="1" t="str">
        <f>IF($A28="","",IF(VLOOKUP($A28,'Teilnehmende - Starters'!$C:$Z,D$11,0)="","",
IF(RIGHT(VLOOKUP($A28,'Teilnehmende - Starters'!$C:$Z,D$11,0),1)=" ",LEFT(VLOOKUP($A28,'Teilnehmende - Starters'!$C:$Z,D$11,0),LEN(VLOOKUP($A28,'Teilnehmende - Starters'!$C:$Z,D$11,0))-1),
VLOOKUP($A28,'Teilnehmende - Starters'!$C:$Z,D$11,0))))</f>
        <v/>
      </c>
      <c r="E28" s="1" t="str">
        <f>IF($A28="","",IF(VLOOKUP($A28,'Teilnehmende - Starters'!$C:$Z,E$11,0)="","",
IF(RIGHT(VLOOKUP($A28,'Teilnehmende - Starters'!$C:$Z,E$11,0),1)=" ",LEFT(VLOOKUP($A28,'Teilnehmende - Starters'!$C:$Z,E$11,0),LEN(VLOOKUP($A28,'Teilnehmende - Starters'!$C:$Z,E$11,0))-1),
VLOOKUP($A28,'Teilnehmende - Starters'!$C:$Z,E$11,0))))</f>
        <v/>
      </c>
      <c r="F28" s="72" t="str">
        <f>IF($A28="","",IF(VLOOKUP($A28,'Teilnehmende - Starters'!$C:$Z,F$11,0)="","",VLOOKUP($A28,'Teilnehmende - Starters'!$C:$Z,F$11,0)))</f>
        <v/>
      </c>
      <c r="G28" s="1" t="str">
        <f>IF($A28="","",IF(VLOOKUP($A28,'Teilnehmende - Starters'!$C:$Z,G$11,0)="","",VLOOKUP($A28,'Teilnehmende - Starters'!$C:$Z,G$11,0)))</f>
        <v/>
      </c>
      <c r="H28" s="1" t="str">
        <f>IF($A28="","",IF(VLOOKUP($A28,'Teilnehmende - Starters'!$C:$Z,H$11,0)="","",VLOOKUP($A28,'Teilnehmende - Starters'!$C:$Z,H$11,0)))</f>
        <v/>
      </c>
      <c r="I28" s="1" t="str">
        <f>IF($A28="","",IF(VLOOKUP($A28,'Teilnehmende - Starters'!$C:$Z,I$11,0)="","",VLOOKUP($A28,'Teilnehmende - Starters'!$C:$Z,I$11,0)))</f>
        <v/>
      </c>
      <c r="J28" s="1" t="str">
        <f>IF($A28="","",IF(VLOOKUP($A28,'Teilnehmende - Starters'!$C:$Z,J$11,0)="","",VLOOKUP($A28,'Teilnehmende - Starters'!$C:$Z,J$11,0)))</f>
        <v/>
      </c>
      <c r="K28" s="1" t="str">
        <f>IF($A28="","",IF(VLOOKUP($A28,'Teilnehmende - Starters'!$C:$Z,K$11,0)="","",VLOOKUP($A28,'Teilnehmende - Starters'!$C:$Z,K$11,0)))</f>
        <v/>
      </c>
      <c r="L28" s="1" t="str">
        <f>IF($A28="","",IF(VLOOKUP($A28,'Teilnehmende - Starters'!$C:$Z,L$11,0)="","",VLOOKUP($A28,'Teilnehmende - Starters'!$C:$Z,L$11,0)))</f>
        <v/>
      </c>
      <c r="M28" s="1" t="str">
        <f>IF($A28="","",IF(VLOOKUP($A28,'Teilnehmende - Starters'!$C:$Z,M$11,0)="","",VLOOKUP($A28,'Teilnehmende - Starters'!$C:$Z,M$11,0)))</f>
        <v/>
      </c>
      <c r="N28" s="17"/>
      <c r="O28" s="1" t="str">
        <f>IF(ISERROR(SMALL('Teilnehmende - Starters'!$D$81:$D$156,ROW(A14))),"",SMALL('Teilnehmende - Starters'!$D$81:$D$156,ROW(A14)))</f>
        <v/>
      </c>
      <c r="P28" s="1" t="str">
        <f>IF($O28="","",IF(VLOOKUP($O28,'Teilnehmende - Starters'!$D:$Z,P$11,0)="","",
IF(RIGHT(VLOOKUP($O28,'Teilnehmende - Starters'!$D:$Z,P$11,0),1)=" ",LEFT(VLOOKUP($O28,'Teilnehmende - Starters'!$D:$Z,P$11,0),LEN(VLOOKUP($O28,'Teilnehmende - Starters'!$D:$Z,P$11,0))-1),
VLOOKUP($O28,'Teilnehmende - Starters'!$D:$Z,P$11,0))))</f>
        <v/>
      </c>
      <c r="Q28" s="1" t="str">
        <f>IF($O28="","",IF(VLOOKUP($O28,'Teilnehmende - Starters'!$D:$Z,Q$11,0)="","",
IF(RIGHT(VLOOKUP($O28,'Teilnehmende - Starters'!$D:$Z,Q$11,0),1)=" ",LEFT(VLOOKUP($O28,'Teilnehmende - Starters'!$D:$Z,Q$11,0),LEN(VLOOKUP($O28,'Teilnehmende - Starters'!$D:$Z,Q$11,0))-1),
VLOOKUP($O28,'Teilnehmende - Starters'!$D:$Z,Q$11,0))))</f>
        <v/>
      </c>
      <c r="R28" s="1" t="str">
        <f t="shared" si="19"/>
        <v/>
      </c>
      <c r="S28" s="1" t="str">
        <f>IF($O28="","",IF(VLOOKUP($O28,'Teilnehmende - Starters'!$D:$Z,S$11,0)="","",VLOOKUP($O28,'Teilnehmende - Starters'!$D:$Z,S$11,0)))</f>
        <v/>
      </c>
      <c r="T28" s="1" t="str">
        <f>IF($O28="","",IF(VLOOKUP($O28,'Teilnehmende - Starters'!$D:$Z,T$11,0)="","",VLOOKUP($O28,'Teilnehmende - Starters'!$D:$Z,T$11,0)))</f>
        <v/>
      </c>
      <c r="U28" s="1" t="str">
        <f>IF($O28="","",IF(VLOOKUP(O28,'Teilnehmende - Starters'!$C:$I,7,0)="w",IF(OR(S28=20,S28=19),"DE","ME"),IF(OR(S28=20,S28=19),"HE","JE")))</f>
        <v/>
      </c>
      <c r="V28" s="1" t="str">
        <f t="shared" si="20"/>
        <v/>
      </c>
      <c r="W28" s="17"/>
      <c r="X28" s="1" t="str">
        <f>IF(ISERROR(SMALL('Teilnehmende - Starters'!$E$81:$E$156,ROW(A14))),"",SMALL('Teilnehmende - Starters'!$E$81:$E$156,ROW(A14)))</f>
        <v/>
      </c>
      <c r="Y28" s="1" t="str">
        <f>IF(X28="","",VLOOKUP(X28,'Teilnehmende - Starters'!$C:$Z,5,0)&amp;" "&amp;VLOOKUP(X28,'Teilnehmende - Starters'!$C:$Z,6,0))</f>
        <v/>
      </c>
      <c r="Z28" s="1" t="str">
        <f t="shared" si="21"/>
        <v/>
      </c>
      <c r="AA28" s="1" t="str">
        <f>IF(X28="","",IF(VLOOKUP(X28,'Teilnehmende - Starters'!$C:$Z,18,0)="Freimeldung",$A$2*100+99,VLOOKUP(Y28,'Teilnehmende - Starters'!$AA$5:$AD$80,4,FALSE)))</f>
        <v/>
      </c>
      <c r="AB28" s="1" t="str">
        <f>IF(AA28="","",IF(VLOOKUP(X28,'Teilnehmende - Starters'!$C:$Z,18,0)="Freimeldung","Freimeldung",VLOOKUP(AA28,$A$15:$E$77,4,0)&amp;" "&amp;VLOOKUP(AA28,$A$15:$E$77,5,0)))</f>
        <v/>
      </c>
      <c r="AC28" s="1" t="str">
        <f>IF(AA28="","",IF(VLOOKUP(X28,'Teilnehmende - Starters'!$C:$Z,18,0)="Freimeldung","",VLOOKUP(AA28,$A$15:$C$77,3,0)))</f>
        <v/>
      </c>
      <c r="AD28" s="1" t="str">
        <f>IF($X28="","",IF(VLOOKUP($X28,'Teilnehmende - Starters'!$C:$Z,AD$11,0)="","",VLOOKUP($X28,'Teilnehmende - Starters'!$C:$Z,AD$11,0)))</f>
        <v/>
      </c>
      <c r="AE28" s="1" t="str">
        <f>IF($X28="","",IF(VLOOKUP($X28,'Teilnehmende - Starters'!$C:$Z,AE$11,0)="","",VLOOKUP($X28,'Teilnehmende - Starters'!$C:$Z,AE$11,0)))</f>
        <v/>
      </c>
      <c r="AF28" s="1" t="str">
        <f>IF($X28="","",IF(VLOOKUP(X28,'Teilnehmende - Starters'!$C:$I,7,0)="w",IF(OR(AD28=20,AD28=19),"DD","MD"),IF(OR(AD28=20,AD28=19),"HD","JD")))</f>
        <v/>
      </c>
      <c r="AG28" s="1" t="str">
        <f t="shared" si="22"/>
        <v/>
      </c>
      <c r="AH28" s="17"/>
      <c r="AI28" s="1" t="str">
        <f>IF(ISERROR(SMALL('Teilnehmende - Starters'!$F$81:$F$156,ROW(#REF!))),"",SMALL('Teilnehmende - Starters'!$F$81:$F$156,ROW(#REF!)))</f>
        <v/>
      </c>
      <c r="AJ28" s="1" t="str">
        <f>IF(AI28="","",VLOOKUP(AI28,'Teilnehmende - Starters'!$C:$Z,5,0)&amp;" "&amp;VLOOKUP(AI28,'Teilnehmende - Starters'!$C:$Z,6,0))</f>
        <v/>
      </c>
      <c r="AK28" s="1" t="str">
        <f t="shared" si="23"/>
        <v/>
      </c>
      <c r="AL28" s="1" t="str">
        <f>IF(AI28="","",IF(VLOOKUP(AI28,'Teilnehmende - Starters'!$C:$AN,21,0)="Freimeldung",$A$2*100+99,VLOOKUP(AJ28,'Teilnehmende - Starters'!$AB$5:$AD$80,3,FALSE)))</f>
        <v/>
      </c>
      <c r="AM28" s="1" t="str">
        <f>IF(AL28="","",IF(VLOOKUP(AI28,'Teilnehmende - Starters'!$C:$Z,21,0)="Freimeldung","Freimeldung",VLOOKUP(AL28,$A$15:$E$77,4,0)&amp;" "&amp;VLOOKUP(AL28,$A$15:$E$77,5,0)))</f>
        <v/>
      </c>
      <c r="AN28" s="1" t="str">
        <f>IF(AL28="","",IF(VLOOKUP(AI28,'Teilnehmende - Starters'!$C:$Z,21,0)="Freimeldung","",VLOOKUP(AL28,$A$15:$C$77,3,0)))</f>
        <v/>
      </c>
      <c r="AO28" s="1" t="str">
        <f>IF($AI28="","",IF(VLOOKUP($AI28,'Teilnehmende - Starters'!$C:$Z,AO$11,0)="","",VLOOKUP($AI28,'Teilnehmende - Starters'!$C:$Z,AO$11,0)))</f>
        <v/>
      </c>
      <c r="AP28" s="1" t="str">
        <f>IF($AI28="","",IF(VLOOKUP($AI28,'Teilnehmende - Starters'!$C:$Z,AP$11,0)="","",VLOOKUP($AI28,'Teilnehmende - Starters'!$C:$Z,AP$11,0)))</f>
        <v/>
      </c>
      <c r="AQ28" s="1" t="str">
        <f t="shared" si="17"/>
        <v/>
      </c>
      <c r="AR28" s="1" t="str">
        <f t="shared" si="24"/>
        <v/>
      </c>
    </row>
    <row r="29" spans="1:44" x14ac:dyDescent="0.3">
      <c r="A29" s="1" t="str">
        <f>IF(ISERROR(SMALL('Teilnehmende - Starters'!$C$81:$C$156,ROW(A15))),"",SMALL('Teilnehmende - Starters'!$C$81:$C$156,ROW(A15)))</f>
        <v/>
      </c>
      <c r="B29" s="1" t="str">
        <f>IF($A29="","",IF(VLOOKUP($A29,'Teilnehmende - Starters'!$C:$Z,B$11,0)="","",SUBSTITUTE(VLOOKUP($A29,'Teilnehmende - Starters'!$C:$Z,B$11,0)," ","")))</f>
        <v/>
      </c>
      <c r="C29" s="1" t="str">
        <f>IF(A29="","",VLOOKUP(INT(A29/100),'Vereine - Clubs'!$C:$H,4,0))</f>
        <v/>
      </c>
      <c r="D29" s="1" t="str">
        <f>IF($A29="","",IF(VLOOKUP($A29,'Teilnehmende - Starters'!$C:$Z,D$11,0)="","",
IF(RIGHT(VLOOKUP($A29,'Teilnehmende - Starters'!$C:$Z,D$11,0),1)=" ",LEFT(VLOOKUP($A29,'Teilnehmende - Starters'!$C:$Z,D$11,0),LEN(VLOOKUP($A29,'Teilnehmende - Starters'!$C:$Z,D$11,0))-1),
VLOOKUP($A29,'Teilnehmende - Starters'!$C:$Z,D$11,0))))</f>
        <v/>
      </c>
      <c r="E29" s="1" t="str">
        <f>IF($A29="","",IF(VLOOKUP($A29,'Teilnehmende - Starters'!$C:$Z,E$11,0)="","",
IF(RIGHT(VLOOKUP($A29,'Teilnehmende - Starters'!$C:$Z,E$11,0),1)=" ",LEFT(VLOOKUP($A29,'Teilnehmende - Starters'!$C:$Z,E$11,0),LEN(VLOOKUP($A29,'Teilnehmende - Starters'!$C:$Z,E$11,0))-1),
VLOOKUP($A29,'Teilnehmende - Starters'!$C:$Z,E$11,0))))</f>
        <v/>
      </c>
      <c r="F29" s="72" t="str">
        <f>IF($A29="","",IF(VLOOKUP($A29,'Teilnehmende - Starters'!$C:$Z,F$11,0)="","",VLOOKUP($A29,'Teilnehmende - Starters'!$C:$Z,F$11,0)))</f>
        <v/>
      </c>
      <c r="G29" s="1" t="str">
        <f>IF($A29="","",IF(VLOOKUP($A29,'Teilnehmende - Starters'!$C:$Z,G$11,0)="","",VLOOKUP($A29,'Teilnehmende - Starters'!$C:$Z,G$11,0)))</f>
        <v/>
      </c>
      <c r="H29" s="1" t="str">
        <f>IF($A29="","",IF(VLOOKUP($A29,'Teilnehmende - Starters'!$C:$Z,H$11,0)="","",VLOOKUP($A29,'Teilnehmende - Starters'!$C:$Z,H$11,0)))</f>
        <v/>
      </c>
      <c r="I29" s="1" t="str">
        <f>IF($A29="","",IF(VLOOKUP($A29,'Teilnehmende - Starters'!$C:$Z,I$11,0)="","",VLOOKUP($A29,'Teilnehmende - Starters'!$C:$Z,I$11,0)))</f>
        <v/>
      </c>
      <c r="J29" s="1" t="str">
        <f>IF($A29="","",IF(VLOOKUP($A29,'Teilnehmende - Starters'!$C:$Z,J$11,0)="","",VLOOKUP($A29,'Teilnehmende - Starters'!$C:$Z,J$11,0)))</f>
        <v/>
      </c>
      <c r="K29" s="1" t="str">
        <f>IF($A29="","",IF(VLOOKUP($A29,'Teilnehmende - Starters'!$C:$Z,K$11,0)="","",VLOOKUP($A29,'Teilnehmende - Starters'!$C:$Z,K$11,0)))</f>
        <v/>
      </c>
      <c r="L29" s="1" t="str">
        <f>IF($A29="","",IF(VLOOKUP($A29,'Teilnehmende - Starters'!$C:$Z,L$11,0)="","",VLOOKUP($A29,'Teilnehmende - Starters'!$C:$Z,L$11,0)))</f>
        <v/>
      </c>
      <c r="M29" s="1" t="str">
        <f>IF($A29="","",IF(VLOOKUP($A29,'Teilnehmende - Starters'!$C:$Z,M$11,0)="","",VLOOKUP($A29,'Teilnehmende - Starters'!$C:$Z,M$11,0)))</f>
        <v/>
      </c>
      <c r="N29" s="17"/>
      <c r="O29" s="1" t="str">
        <f>IF(ISERROR(SMALL('Teilnehmende - Starters'!$D$81:$D$156,ROW(A15))),"",SMALL('Teilnehmende - Starters'!$D$81:$D$156,ROW(A15)))</f>
        <v/>
      </c>
      <c r="P29" s="1" t="str">
        <f>IF($O29="","",IF(VLOOKUP($O29,'Teilnehmende - Starters'!$D:$Z,P$11,0)="","",
IF(RIGHT(VLOOKUP($O29,'Teilnehmende - Starters'!$D:$Z,P$11,0),1)=" ",LEFT(VLOOKUP($O29,'Teilnehmende - Starters'!$D:$Z,P$11,0),LEN(VLOOKUP($O29,'Teilnehmende - Starters'!$D:$Z,P$11,0))-1),
VLOOKUP($O29,'Teilnehmende - Starters'!$D:$Z,P$11,0))))</f>
        <v/>
      </c>
      <c r="Q29" s="1" t="str">
        <f>IF($O29="","",IF(VLOOKUP($O29,'Teilnehmende - Starters'!$D:$Z,Q$11,0)="","",
IF(RIGHT(VLOOKUP($O29,'Teilnehmende - Starters'!$D:$Z,Q$11,0),1)=" ",LEFT(VLOOKUP($O29,'Teilnehmende - Starters'!$D:$Z,Q$11,0),LEN(VLOOKUP($O29,'Teilnehmende - Starters'!$D:$Z,Q$11,0))-1),
VLOOKUP($O29,'Teilnehmende - Starters'!$D:$Z,Q$11,0))))</f>
        <v/>
      </c>
      <c r="R29" s="1" t="str">
        <f t="shared" si="19"/>
        <v/>
      </c>
      <c r="S29" s="1" t="str">
        <f>IF($O29="","",IF(VLOOKUP($O29,'Teilnehmende - Starters'!$D:$Z,S$11,0)="","",VLOOKUP($O29,'Teilnehmende - Starters'!$D:$Z,S$11,0)))</f>
        <v/>
      </c>
      <c r="T29" s="1" t="str">
        <f>IF($O29="","",IF(VLOOKUP($O29,'Teilnehmende - Starters'!$D:$Z,T$11,0)="","",VLOOKUP($O29,'Teilnehmende - Starters'!$D:$Z,T$11,0)))</f>
        <v/>
      </c>
      <c r="U29" s="1" t="str">
        <f>IF($O29="","",IF(VLOOKUP(O29,'Teilnehmende - Starters'!$C:$I,7,0)="w",IF(OR(S29=20,S29=19),"DE","ME"),IF(OR(S29=20,S29=19),"HE","JE")))</f>
        <v/>
      </c>
      <c r="V29" s="1" t="str">
        <f t="shared" si="20"/>
        <v/>
      </c>
      <c r="W29" s="17"/>
      <c r="X29" s="1" t="str">
        <f>IF(ISERROR(SMALL('Teilnehmende - Starters'!$E$81:$E$156,ROW(A15))),"",SMALL('Teilnehmende - Starters'!$E$81:$E$156,ROW(A15)))</f>
        <v/>
      </c>
      <c r="Y29" s="1" t="str">
        <f>IF(X29="","",VLOOKUP(X29,'Teilnehmende - Starters'!$C:$Z,5,0)&amp;" "&amp;VLOOKUP(X29,'Teilnehmende - Starters'!$C:$Z,6,0))</f>
        <v/>
      </c>
      <c r="Z29" s="1" t="str">
        <f t="shared" si="21"/>
        <v/>
      </c>
      <c r="AA29" s="1" t="str">
        <f>IF(X29="","",IF(VLOOKUP(X29,'Teilnehmende - Starters'!$C:$Z,18,0)="Freimeldung",$A$2*100+99,VLOOKUP(Y29,'Teilnehmende - Starters'!$AA$5:$AD$80,4,FALSE)))</f>
        <v/>
      </c>
      <c r="AB29" s="1" t="str">
        <f>IF(AA29="","",IF(VLOOKUP(X29,'Teilnehmende - Starters'!$C:$Z,18,0)="Freimeldung","Freimeldung",VLOOKUP(AA29,$A$15:$E$77,4,0)&amp;" "&amp;VLOOKUP(AA29,$A$15:$E$77,5,0)))</f>
        <v/>
      </c>
      <c r="AC29" s="1" t="str">
        <f>IF(AA29="","",IF(VLOOKUP(X29,'Teilnehmende - Starters'!$C:$Z,18,0)="Freimeldung","",VLOOKUP(AA29,$A$15:$C$77,3,0)))</f>
        <v/>
      </c>
      <c r="AD29" s="1" t="str">
        <f>IF($X29="","",IF(VLOOKUP($X29,'Teilnehmende - Starters'!$C:$Z,AD$11,0)="","",VLOOKUP($X29,'Teilnehmende - Starters'!$C:$Z,AD$11,0)))</f>
        <v/>
      </c>
      <c r="AE29" s="1" t="str">
        <f>IF($X29="","",IF(VLOOKUP($X29,'Teilnehmende - Starters'!$C:$Z,AE$11,0)="","",VLOOKUP($X29,'Teilnehmende - Starters'!$C:$Z,AE$11,0)))</f>
        <v/>
      </c>
      <c r="AF29" s="1" t="str">
        <f>IF($X29="","",IF(VLOOKUP(X29,'Teilnehmende - Starters'!$C:$I,7,0)="w",IF(OR(AD29=20,AD29=19),"DD","MD"),IF(OR(AD29=20,AD29=19),"HD","JD")))</f>
        <v/>
      </c>
      <c r="AG29" s="1" t="str">
        <f t="shared" si="22"/>
        <v/>
      </c>
      <c r="AH29" s="17"/>
      <c r="AI29" s="1" t="str">
        <f>IF(ISERROR(SMALL('Teilnehmende - Starters'!$F$81:$F$156,ROW(#REF!))),"",SMALL('Teilnehmende - Starters'!$F$81:$F$156,ROW(#REF!)))</f>
        <v/>
      </c>
      <c r="AJ29" s="1" t="str">
        <f>IF(AI29="","",VLOOKUP(AI29,'Teilnehmende - Starters'!$C:$Z,5,0)&amp;" "&amp;VLOOKUP(AI29,'Teilnehmende - Starters'!$C:$Z,6,0))</f>
        <v/>
      </c>
      <c r="AK29" s="1" t="str">
        <f t="shared" si="23"/>
        <v/>
      </c>
      <c r="AL29" s="1" t="str">
        <f>IF(AI29="","",IF(VLOOKUP(AI29,'Teilnehmende - Starters'!$C:$AN,21,0)="Freimeldung",$A$2*100+99,VLOOKUP(AJ29,'Teilnehmende - Starters'!$AB$5:$AD$80,3,FALSE)))</f>
        <v/>
      </c>
      <c r="AM29" s="1" t="str">
        <f>IF(AL29="","",IF(VLOOKUP(AI29,'Teilnehmende - Starters'!$C:$Z,21,0)="Freimeldung","Freimeldung",VLOOKUP(AL29,$A$15:$E$77,4,0)&amp;" "&amp;VLOOKUP(AL29,$A$15:$E$77,5,0)))</f>
        <v/>
      </c>
      <c r="AN29" s="1" t="str">
        <f>IF(AL29="","",IF(VLOOKUP(AI29,'Teilnehmende - Starters'!$C:$Z,21,0)="Freimeldung","",VLOOKUP(AL29,$A$15:$C$77,3,0)))</f>
        <v/>
      </c>
      <c r="AO29" s="1" t="str">
        <f>IF($AI29="","",IF(VLOOKUP($AI29,'Teilnehmende - Starters'!$C:$Z,AO$11,0)="","",VLOOKUP($AI29,'Teilnehmende - Starters'!$C:$Z,AO$11,0)))</f>
        <v/>
      </c>
      <c r="AP29" s="1" t="str">
        <f>IF($AI29="","",IF(VLOOKUP($AI29,'Teilnehmende - Starters'!$C:$Z,AP$11,0)="","",VLOOKUP($AI29,'Teilnehmende - Starters'!$C:$Z,AP$11,0)))</f>
        <v/>
      </c>
      <c r="AQ29" s="1" t="str">
        <f t="shared" si="17"/>
        <v/>
      </c>
      <c r="AR29" s="1" t="str">
        <f t="shared" si="24"/>
        <v/>
      </c>
    </row>
    <row r="30" spans="1:44" x14ac:dyDescent="0.3">
      <c r="A30" s="1" t="str">
        <f>IF(ISERROR(SMALL('Teilnehmende - Starters'!$C$81:$C$156,ROW(A16))),"",SMALL('Teilnehmende - Starters'!$C$81:$C$156,ROW(A16)))</f>
        <v/>
      </c>
      <c r="B30" s="1" t="str">
        <f>IF($A30="","",IF(VLOOKUP($A30,'Teilnehmende - Starters'!$C:$Z,B$11,0)="","",SUBSTITUTE(VLOOKUP($A30,'Teilnehmende - Starters'!$C:$Z,B$11,0)," ","")))</f>
        <v/>
      </c>
      <c r="C30" s="1" t="str">
        <f>IF(A30="","",VLOOKUP(INT(A30/100),'Vereine - Clubs'!$C:$H,4,0))</f>
        <v/>
      </c>
      <c r="D30" s="1" t="str">
        <f>IF($A30="","",IF(VLOOKUP($A30,'Teilnehmende - Starters'!$C:$Z,D$11,0)="","",
IF(RIGHT(VLOOKUP($A30,'Teilnehmende - Starters'!$C:$Z,D$11,0),1)=" ",LEFT(VLOOKUP($A30,'Teilnehmende - Starters'!$C:$Z,D$11,0),LEN(VLOOKUP($A30,'Teilnehmende - Starters'!$C:$Z,D$11,0))-1),
VLOOKUP($A30,'Teilnehmende - Starters'!$C:$Z,D$11,0))))</f>
        <v/>
      </c>
      <c r="E30" s="1" t="str">
        <f>IF($A30="","",IF(VLOOKUP($A30,'Teilnehmende - Starters'!$C:$Z,E$11,0)="","",
IF(RIGHT(VLOOKUP($A30,'Teilnehmende - Starters'!$C:$Z,E$11,0),1)=" ",LEFT(VLOOKUP($A30,'Teilnehmende - Starters'!$C:$Z,E$11,0),LEN(VLOOKUP($A30,'Teilnehmende - Starters'!$C:$Z,E$11,0))-1),
VLOOKUP($A30,'Teilnehmende - Starters'!$C:$Z,E$11,0))))</f>
        <v/>
      </c>
      <c r="F30" s="72" t="str">
        <f>IF($A30="","",IF(VLOOKUP($A30,'Teilnehmende - Starters'!$C:$Z,F$11,0)="","",VLOOKUP($A30,'Teilnehmende - Starters'!$C:$Z,F$11,0)))</f>
        <v/>
      </c>
      <c r="G30" s="1" t="str">
        <f>IF($A30="","",IF(VLOOKUP($A30,'Teilnehmende - Starters'!$C:$Z,G$11,0)="","",VLOOKUP($A30,'Teilnehmende - Starters'!$C:$Z,G$11,0)))</f>
        <v/>
      </c>
      <c r="H30" s="1" t="str">
        <f>IF($A30="","",IF(VLOOKUP($A30,'Teilnehmende - Starters'!$C:$Z,H$11,0)="","",VLOOKUP($A30,'Teilnehmende - Starters'!$C:$Z,H$11,0)))</f>
        <v/>
      </c>
      <c r="I30" s="1" t="str">
        <f>IF($A30="","",IF(VLOOKUP($A30,'Teilnehmende - Starters'!$C:$Z,I$11,0)="","",VLOOKUP($A30,'Teilnehmende - Starters'!$C:$Z,I$11,0)))</f>
        <v/>
      </c>
      <c r="J30" s="1" t="str">
        <f>IF($A30="","",IF(VLOOKUP($A30,'Teilnehmende - Starters'!$C:$Z,J$11,0)="","",VLOOKUP($A30,'Teilnehmende - Starters'!$C:$Z,J$11,0)))</f>
        <v/>
      </c>
      <c r="K30" s="1" t="str">
        <f>IF($A30="","",IF(VLOOKUP($A30,'Teilnehmende - Starters'!$C:$Z,K$11,0)="","",VLOOKUP($A30,'Teilnehmende - Starters'!$C:$Z,K$11,0)))</f>
        <v/>
      </c>
      <c r="L30" s="1" t="str">
        <f>IF($A30="","",IF(VLOOKUP($A30,'Teilnehmende - Starters'!$C:$Z,L$11,0)="","",VLOOKUP($A30,'Teilnehmende - Starters'!$C:$Z,L$11,0)))</f>
        <v/>
      </c>
      <c r="M30" s="1" t="str">
        <f>IF($A30="","",IF(VLOOKUP($A30,'Teilnehmende - Starters'!$C:$Z,M$11,0)="","",VLOOKUP($A30,'Teilnehmende - Starters'!$C:$Z,M$11,0)))</f>
        <v/>
      </c>
      <c r="N30" s="17"/>
      <c r="O30" s="1" t="str">
        <f>IF(ISERROR(SMALL('Teilnehmende - Starters'!$D$81:$D$156,ROW(A16))),"",SMALL('Teilnehmende - Starters'!$D$81:$D$156,ROW(A16)))</f>
        <v/>
      </c>
      <c r="P30" s="1" t="str">
        <f>IF($O30="","",IF(VLOOKUP($O30,'Teilnehmende - Starters'!$D:$Z,P$11,0)="","",
IF(RIGHT(VLOOKUP($O30,'Teilnehmende - Starters'!$D:$Z,P$11,0),1)=" ",LEFT(VLOOKUP($O30,'Teilnehmende - Starters'!$D:$Z,P$11,0),LEN(VLOOKUP($O30,'Teilnehmende - Starters'!$D:$Z,P$11,0))-1),
VLOOKUP($O30,'Teilnehmende - Starters'!$D:$Z,P$11,0))))</f>
        <v/>
      </c>
      <c r="Q30" s="1" t="str">
        <f>IF($O30="","",IF(VLOOKUP($O30,'Teilnehmende - Starters'!$D:$Z,Q$11,0)="","",
IF(RIGHT(VLOOKUP($O30,'Teilnehmende - Starters'!$D:$Z,Q$11,0),1)=" ",LEFT(VLOOKUP($O30,'Teilnehmende - Starters'!$D:$Z,Q$11,0),LEN(VLOOKUP($O30,'Teilnehmende - Starters'!$D:$Z,Q$11,0))-1),
VLOOKUP($O30,'Teilnehmende - Starters'!$D:$Z,Q$11,0))))</f>
        <v/>
      </c>
      <c r="R30" s="1" t="str">
        <f t="shared" si="19"/>
        <v/>
      </c>
      <c r="S30" s="1" t="str">
        <f>IF($O30="","",IF(VLOOKUP($O30,'Teilnehmende - Starters'!$D:$Z,S$11,0)="","",VLOOKUP($O30,'Teilnehmende - Starters'!$D:$Z,S$11,0)))</f>
        <v/>
      </c>
      <c r="T30" s="1" t="str">
        <f>IF($O30="","",IF(VLOOKUP($O30,'Teilnehmende - Starters'!$D:$Z,T$11,0)="","",VLOOKUP($O30,'Teilnehmende - Starters'!$D:$Z,T$11,0)))</f>
        <v/>
      </c>
      <c r="U30" s="1" t="str">
        <f>IF($O30="","",IF(VLOOKUP(O30,'Teilnehmende - Starters'!$C:$I,7,0)="w",IF(OR(S30=20,S30=19),"DE","ME"),IF(OR(S30=20,S30=19),"HE","JE")))</f>
        <v/>
      </c>
      <c r="V30" s="1" t="str">
        <f t="shared" si="20"/>
        <v/>
      </c>
      <c r="W30" s="17"/>
      <c r="X30" s="1" t="str">
        <f>IF(ISERROR(SMALL('Teilnehmende - Starters'!$E$81:$E$156,ROW(A16))),"",SMALL('Teilnehmende - Starters'!$E$81:$E$156,ROW(A16)))</f>
        <v/>
      </c>
      <c r="Y30" s="1" t="str">
        <f>IF(X30="","",VLOOKUP(X30,'Teilnehmende - Starters'!$C:$Z,5,0)&amp;" "&amp;VLOOKUP(X30,'Teilnehmende - Starters'!$C:$Z,6,0))</f>
        <v/>
      </c>
      <c r="Z30" s="1" t="str">
        <f t="shared" si="21"/>
        <v/>
      </c>
      <c r="AA30" s="1" t="str">
        <f>IF(X30="","",IF(VLOOKUP(X30,'Teilnehmende - Starters'!$C:$Z,18,0)="Freimeldung",$A$2*100+99,VLOOKUP(Y30,'Teilnehmende - Starters'!$AA$5:$AD$80,4,FALSE)))</f>
        <v/>
      </c>
      <c r="AB30" s="1" t="str">
        <f>IF(AA30="","",IF(VLOOKUP(X30,'Teilnehmende - Starters'!$C:$Z,18,0)="Freimeldung","Freimeldung",VLOOKUP(AA30,$A$15:$E$77,4,0)&amp;" "&amp;VLOOKUP(AA30,$A$15:$E$77,5,0)))</f>
        <v/>
      </c>
      <c r="AC30" s="1" t="str">
        <f>IF(AA30="","",IF(VLOOKUP(X30,'Teilnehmende - Starters'!$C:$Z,18,0)="Freimeldung","",VLOOKUP(AA30,$A$15:$C$77,3,0)))</f>
        <v/>
      </c>
      <c r="AD30" s="1" t="str">
        <f>IF($X30="","",IF(VLOOKUP($X30,'Teilnehmende - Starters'!$C:$Z,AD$11,0)="","",VLOOKUP($X30,'Teilnehmende - Starters'!$C:$Z,AD$11,0)))</f>
        <v/>
      </c>
      <c r="AE30" s="1" t="str">
        <f>IF($X30="","",IF(VLOOKUP($X30,'Teilnehmende - Starters'!$C:$Z,AE$11,0)="","",VLOOKUP($X30,'Teilnehmende - Starters'!$C:$Z,AE$11,0)))</f>
        <v/>
      </c>
      <c r="AF30" s="1" t="str">
        <f>IF($X30="","",IF(VLOOKUP(X30,'Teilnehmende - Starters'!$C:$I,7,0)="w",IF(OR(AD30=20,AD30=19),"DD","MD"),IF(OR(AD30=20,AD30=19),"HD","JD")))</f>
        <v/>
      </c>
      <c r="AG30" s="1" t="str">
        <f t="shared" si="22"/>
        <v/>
      </c>
      <c r="AH30" s="17"/>
      <c r="AI30" s="1" t="str">
        <f>IF(ISERROR(SMALL('Teilnehmende - Starters'!$F$81:$F$156,ROW(#REF!))),"",SMALL('Teilnehmende - Starters'!$F$81:$F$156,ROW(#REF!)))</f>
        <v/>
      </c>
      <c r="AJ30" s="1" t="str">
        <f>IF(AI30="","",VLOOKUP(AI30,'Teilnehmende - Starters'!$C:$Z,5,0)&amp;" "&amp;VLOOKUP(AI30,'Teilnehmende - Starters'!$C:$Z,6,0))</f>
        <v/>
      </c>
      <c r="AK30" s="1" t="str">
        <f t="shared" si="23"/>
        <v/>
      </c>
      <c r="AL30" s="1" t="str">
        <f>IF(AI30="","",IF(VLOOKUP(AI30,'Teilnehmende - Starters'!$C:$AN,21,0)="Freimeldung",$A$2*100+99,VLOOKUP(AJ30,'Teilnehmende - Starters'!$AB$5:$AD$80,3,FALSE)))</f>
        <v/>
      </c>
      <c r="AM30" s="1" t="str">
        <f>IF(AL30="","",IF(VLOOKUP(AI30,'Teilnehmende - Starters'!$C:$Z,21,0)="Freimeldung","Freimeldung",VLOOKUP(AL30,$A$15:$E$77,4,0)&amp;" "&amp;VLOOKUP(AL30,$A$15:$E$77,5,0)))</f>
        <v/>
      </c>
      <c r="AN30" s="1" t="str">
        <f>IF(AL30="","",IF(VLOOKUP(AI30,'Teilnehmende - Starters'!$C:$Z,21,0)="Freimeldung","",VLOOKUP(AL30,$A$15:$C$77,3,0)))</f>
        <v/>
      </c>
      <c r="AO30" s="1" t="str">
        <f>IF($AI30="","",IF(VLOOKUP($AI30,'Teilnehmende - Starters'!$C:$Z,AO$11,0)="","",VLOOKUP($AI30,'Teilnehmende - Starters'!$C:$Z,AO$11,0)))</f>
        <v/>
      </c>
      <c r="AP30" s="1" t="str">
        <f>IF($AI30="","",IF(VLOOKUP($AI30,'Teilnehmende - Starters'!$C:$Z,AP$11,0)="","",VLOOKUP($AI30,'Teilnehmende - Starters'!$C:$Z,AP$11,0)))</f>
        <v/>
      </c>
      <c r="AQ30" s="1" t="str">
        <f t="shared" si="17"/>
        <v/>
      </c>
      <c r="AR30" s="1" t="str">
        <f t="shared" si="24"/>
        <v/>
      </c>
    </row>
    <row r="31" spans="1:44" x14ac:dyDescent="0.3">
      <c r="A31" s="1" t="str">
        <f>IF(ISERROR(SMALL('Teilnehmende - Starters'!$C$81:$C$156,ROW(A17))),"",SMALL('Teilnehmende - Starters'!$C$81:$C$156,ROW(A17)))</f>
        <v/>
      </c>
      <c r="B31" s="1" t="str">
        <f>IF($A31="","",IF(VLOOKUP($A31,'Teilnehmende - Starters'!$C:$Z,B$11,0)="","",SUBSTITUTE(VLOOKUP($A31,'Teilnehmende - Starters'!$C:$Z,B$11,0)," ","")))</f>
        <v/>
      </c>
      <c r="C31" s="1" t="str">
        <f>IF(A31="","",VLOOKUP(INT(A31/100),'Vereine - Clubs'!$C:$H,4,0))</f>
        <v/>
      </c>
      <c r="D31" s="1" t="str">
        <f>IF($A31="","",IF(VLOOKUP($A31,'Teilnehmende - Starters'!$C:$Z,D$11,0)="","",
IF(RIGHT(VLOOKUP($A31,'Teilnehmende - Starters'!$C:$Z,D$11,0),1)=" ",LEFT(VLOOKUP($A31,'Teilnehmende - Starters'!$C:$Z,D$11,0),LEN(VLOOKUP($A31,'Teilnehmende - Starters'!$C:$Z,D$11,0))-1),
VLOOKUP($A31,'Teilnehmende - Starters'!$C:$Z,D$11,0))))</f>
        <v/>
      </c>
      <c r="E31" s="1" t="str">
        <f>IF($A31="","",IF(VLOOKUP($A31,'Teilnehmende - Starters'!$C:$Z,E$11,0)="","",
IF(RIGHT(VLOOKUP($A31,'Teilnehmende - Starters'!$C:$Z,E$11,0),1)=" ",LEFT(VLOOKUP($A31,'Teilnehmende - Starters'!$C:$Z,E$11,0),LEN(VLOOKUP($A31,'Teilnehmende - Starters'!$C:$Z,E$11,0))-1),
VLOOKUP($A31,'Teilnehmende - Starters'!$C:$Z,E$11,0))))</f>
        <v/>
      </c>
      <c r="F31" s="72" t="str">
        <f>IF($A31="","",IF(VLOOKUP($A31,'Teilnehmende - Starters'!$C:$Z,F$11,0)="","",VLOOKUP($A31,'Teilnehmende - Starters'!$C:$Z,F$11,0)))</f>
        <v/>
      </c>
      <c r="G31" s="1" t="str">
        <f>IF($A31="","",IF(VLOOKUP($A31,'Teilnehmende - Starters'!$C:$Z,G$11,0)="","",VLOOKUP($A31,'Teilnehmende - Starters'!$C:$Z,G$11,0)))</f>
        <v/>
      </c>
      <c r="H31" s="1" t="str">
        <f>IF($A31="","",IF(VLOOKUP($A31,'Teilnehmende - Starters'!$C:$Z,H$11,0)="","",VLOOKUP($A31,'Teilnehmende - Starters'!$C:$Z,H$11,0)))</f>
        <v/>
      </c>
      <c r="I31" s="1" t="str">
        <f>IF($A31="","",IF(VLOOKUP($A31,'Teilnehmende - Starters'!$C:$Z,I$11,0)="","",VLOOKUP($A31,'Teilnehmende - Starters'!$C:$Z,I$11,0)))</f>
        <v/>
      </c>
      <c r="J31" s="1" t="str">
        <f>IF($A31="","",IF(VLOOKUP($A31,'Teilnehmende - Starters'!$C:$Z,J$11,0)="","",VLOOKUP($A31,'Teilnehmende - Starters'!$C:$Z,J$11,0)))</f>
        <v/>
      </c>
      <c r="K31" s="1" t="str">
        <f>IF($A31="","",IF(VLOOKUP($A31,'Teilnehmende - Starters'!$C:$Z,K$11,0)="","",VLOOKUP($A31,'Teilnehmende - Starters'!$C:$Z,K$11,0)))</f>
        <v/>
      </c>
      <c r="L31" s="1" t="str">
        <f>IF($A31="","",IF(VLOOKUP($A31,'Teilnehmende - Starters'!$C:$Z,L$11,0)="","",VLOOKUP($A31,'Teilnehmende - Starters'!$C:$Z,L$11,0)))</f>
        <v/>
      </c>
      <c r="M31" s="1" t="str">
        <f>IF($A31="","",IF(VLOOKUP($A31,'Teilnehmende - Starters'!$C:$Z,M$11,0)="","",VLOOKUP($A31,'Teilnehmende - Starters'!$C:$Z,M$11,0)))</f>
        <v/>
      </c>
      <c r="N31" s="17"/>
      <c r="O31" s="1" t="str">
        <f>IF(ISERROR(SMALL('Teilnehmende - Starters'!$D$81:$D$156,ROW(A17))),"",SMALL('Teilnehmende - Starters'!$D$81:$D$156,ROW(A17)))</f>
        <v/>
      </c>
      <c r="P31" s="1" t="str">
        <f>IF($O31="","",IF(VLOOKUP($O31,'Teilnehmende - Starters'!$D:$Z,P$11,0)="","",
IF(RIGHT(VLOOKUP($O31,'Teilnehmende - Starters'!$D:$Z,P$11,0),1)=" ",LEFT(VLOOKUP($O31,'Teilnehmende - Starters'!$D:$Z,P$11,0),LEN(VLOOKUP($O31,'Teilnehmende - Starters'!$D:$Z,P$11,0))-1),
VLOOKUP($O31,'Teilnehmende - Starters'!$D:$Z,P$11,0))))</f>
        <v/>
      </c>
      <c r="Q31" s="1" t="str">
        <f>IF($O31="","",IF(VLOOKUP($O31,'Teilnehmende - Starters'!$D:$Z,Q$11,0)="","",
IF(RIGHT(VLOOKUP($O31,'Teilnehmende - Starters'!$D:$Z,Q$11,0),1)=" ",LEFT(VLOOKUP($O31,'Teilnehmende - Starters'!$D:$Z,Q$11,0),LEN(VLOOKUP($O31,'Teilnehmende - Starters'!$D:$Z,Q$11,0))-1),
VLOOKUP($O31,'Teilnehmende - Starters'!$D:$Z,Q$11,0))))</f>
        <v/>
      </c>
      <c r="R31" s="1" t="str">
        <f t="shared" si="19"/>
        <v/>
      </c>
      <c r="S31" s="1" t="str">
        <f>IF($O31="","",IF(VLOOKUP($O31,'Teilnehmende - Starters'!$D:$Z,S$11,0)="","",VLOOKUP($O31,'Teilnehmende - Starters'!$D:$Z,S$11,0)))</f>
        <v/>
      </c>
      <c r="T31" s="1" t="str">
        <f>IF($O31="","",IF(VLOOKUP($O31,'Teilnehmende - Starters'!$D:$Z,T$11,0)="","",VLOOKUP($O31,'Teilnehmende - Starters'!$D:$Z,T$11,0)))</f>
        <v/>
      </c>
      <c r="U31" s="1" t="str">
        <f>IF($O31="","",IF(VLOOKUP(O31,'Teilnehmende - Starters'!$C:$I,7,0)="w",IF(OR(S31=20,S31=19),"DE","ME"),IF(OR(S31=20,S31=19),"HE","JE")))</f>
        <v/>
      </c>
      <c r="V31" s="1" t="str">
        <f t="shared" si="20"/>
        <v/>
      </c>
      <c r="W31" s="17"/>
      <c r="X31" s="1" t="str">
        <f>IF(ISERROR(SMALL('Teilnehmende - Starters'!$E$81:$E$156,ROW(A17))),"",SMALL('Teilnehmende - Starters'!$E$81:$E$156,ROW(A17)))</f>
        <v/>
      </c>
      <c r="Y31" s="1" t="str">
        <f>IF(X31="","",VLOOKUP(X31,'Teilnehmende - Starters'!$C:$Z,5,0)&amp;" "&amp;VLOOKUP(X31,'Teilnehmende - Starters'!$C:$Z,6,0))</f>
        <v/>
      </c>
      <c r="Z31" s="1" t="str">
        <f t="shared" si="21"/>
        <v/>
      </c>
      <c r="AA31" s="1" t="str">
        <f>IF(X31="","",IF(VLOOKUP(X31,'Teilnehmende - Starters'!$C:$Z,18,0)="Freimeldung",$A$2*100+99,VLOOKUP(Y31,'Teilnehmende - Starters'!$AA$5:$AD$80,4,FALSE)))</f>
        <v/>
      </c>
      <c r="AB31" s="1" t="str">
        <f>IF(AA31="","",IF(VLOOKUP(X31,'Teilnehmende - Starters'!$C:$Z,18,0)="Freimeldung","Freimeldung",VLOOKUP(AA31,$A$15:$E$77,4,0)&amp;" "&amp;VLOOKUP(AA31,$A$15:$E$77,5,0)))</f>
        <v/>
      </c>
      <c r="AC31" s="1" t="str">
        <f>IF(AA31="","",IF(VLOOKUP(X31,'Teilnehmende - Starters'!$C:$Z,18,0)="Freimeldung","",VLOOKUP(AA31,$A$15:$C$77,3,0)))</f>
        <v/>
      </c>
      <c r="AD31" s="1" t="str">
        <f>IF($X31="","",IF(VLOOKUP($X31,'Teilnehmende - Starters'!$C:$Z,AD$11,0)="","",VLOOKUP($X31,'Teilnehmende - Starters'!$C:$Z,AD$11,0)))</f>
        <v/>
      </c>
      <c r="AE31" s="1" t="str">
        <f>IF($X31="","",IF(VLOOKUP($X31,'Teilnehmende - Starters'!$C:$Z,AE$11,0)="","",VLOOKUP($X31,'Teilnehmende - Starters'!$C:$Z,AE$11,0)))</f>
        <v/>
      </c>
      <c r="AF31" s="1" t="str">
        <f>IF($X31="","",IF(VLOOKUP(X31,'Teilnehmende - Starters'!$C:$I,7,0)="w",IF(OR(AD31=20,AD31=19),"DD","MD"),IF(OR(AD31=20,AD31=19),"HD","JD")))</f>
        <v/>
      </c>
      <c r="AG31" s="1" t="str">
        <f t="shared" si="22"/>
        <v/>
      </c>
      <c r="AH31" s="17"/>
      <c r="AI31" s="1" t="str">
        <f>IF(ISERROR(SMALL('Teilnehmende - Starters'!$F$81:$F$156,ROW(#REF!))),"",SMALL('Teilnehmende - Starters'!$F$81:$F$156,ROW(#REF!)))</f>
        <v/>
      </c>
      <c r="AJ31" s="1" t="str">
        <f>IF(AI31="","",VLOOKUP(AI31,'Teilnehmende - Starters'!$C:$Z,5,0)&amp;" "&amp;VLOOKUP(AI31,'Teilnehmende - Starters'!$C:$Z,6,0))</f>
        <v/>
      </c>
      <c r="AK31" s="1" t="str">
        <f t="shared" si="23"/>
        <v/>
      </c>
      <c r="AL31" s="1" t="str">
        <f>IF(AI31="","",IF(VLOOKUP(AI31,'Teilnehmende - Starters'!$C:$AN,21,0)="Freimeldung",$A$2*100+99,VLOOKUP(AJ31,'Teilnehmende - Starters'!$AB$5:$AD$80,3,FALSE)))</f>
        <v/>
      </c>
      <c r="AM31" s="1" t="str">
        <f>IF(AL31="","",IF(VLOOKUP(AI31,'Teilnehmende - Starters'!$C:$Z,21,0)="Freimeldung","Freimeldung",VLOOKUP(AL31,$A$15:$E$77,4,0)&amp;" "&amp;VLOOKUP(AL31,$A$15:$E$77,5,0)))</f>
        <v/>
      </c>
      <c r="AN31" s="1" t="str">
        <f>IF(AL31="","",IF(VLOOKUP(AI31,'Teilnehmende - Starters'!$C:$Z,21,0)="Freimeldung","",VLOOKUP(AL31,$A$15:$C$77,3,0)))</f>
        <v/>
      </c>
      <c r="AO31" s="1" t="str">
        <f>IF($AI31="","",IF(VLOOKUP($AI31,'Teilnehmende - Starters'!$C:$Z,AO$11,0)="","",VLOOKUP($AI31,'Teilnehmende - Starters'!$C:$Z,AO$11,0)))</f>
        <v/>
      </c>
      <c r="AP31" s="1" t="str">
        <f>IF($AI31="","",IF(VLOOKUP($AI31,'Teilnehmende - Starters'!$C:$Z,AP$11,0)="","",VLOOKUP($AI31,'Teilnehmende - Starters'!$C:$Z,AP$11,0)))</f>
        <v/>
      </c>
      <c r="AQ31" s="1" t="str">
        <f t="shared" si="17"/>
        <v/>
      </c>
      <c r="AR31" s="1" t="str">
        <f t="shared" si="24"/>
        <v/>
      </c>
    </row>
    <row r="32" spans="1:44" x14ac:dyDescent="0.3">
      <c r="A32" s="1" t="str">
        <f>IF(ISERROR(SMALL('Teilnehmende - Starters'!$C$81:$C$156,ROW(A18))),"",SMALL('Teilnehmende - Starters'!$C$81:$C$156,ROW(A18)))</f>
        <v/>
      </c>
      <c r="B32" s="1" t="str">
        <f>IF($A32="","",IF(VLOOKUP($A32,'Teilnehmende - Starters'!$C:$Z,B$11,0)="","",SUBSTITUTE(VLOOKUP($A32,'Teilnehmende - Starters'!$C:$Z,B$11,0)," ","")))</f>
        <v/>
      </c>
      <c r="C32" s="1" t="str">
        <f>IF(A32="","",VLOOKUP(INT(A32/100),'Vereine - Clubs'!$C:$H,4,0))</f>
        <v/>
      </c>
      <c r="D32" s="1" t="str">
        <f>IF($A32="","",IF(VLOOKUP($A32,'Teilnehmende - Starters'!$C:$Z,D$11,0)="","",
IF(RIGHT(VLOOKUP($A32,'Teilnehmende - Starters'!$C:$Z,D$11,0),1)=" ",LEFT(VLOOKUP($A32,'Teilnehmende - Starters'!$C:$Z,D$11,0),LEN(VLOOKUP($A32,'Teilnehmende - Starters'!$C:$Z,D$11,0))-1),
VLOOKUP($A32,'Teilnehmende - Starters'!$C:$Z,D$11,0))))</f>
        <v/>
      </c>
      <c r="E32" s="1" t="str">
        <f>IF($A32="","",IF(VLOOKUP($A32,'Teilnehmende - Starters'!$C:$Z,E$11,0)="","",
IF(RIGHT(VLOOKUP($A32,'Teilnehmende - Starters'!$C:$Z,E$11,0),1)=" ",LEFT(VLOOKUP($A32,'Teilnehmende - Starters'!$C:$Z,E$11,0),LEN(VLOOKUP($A32,'Teilnehmende - Starters'!$C:$Z,E$11,0))-1),
VLOOKUP($A32,'Teilnehmende - Starters'!$C:$Z,E$11,0))))</f>
        <v/>
      </c>
      <c r="F32" s="72" t="str">
        <f>IF($A32="","",IF(VLOOKUP($A32,'Teilnehmende - Starters'!$C:$Z,F$11,0)="","",VLOOKUP($A32,'Teilnehmende - Starters'!$C:$Z,F$11,0)))</f>
        <v/>
      </c>
      <c r="G32" s="1" t="str">
        <f>IF($A32="","",IF(VLOOKUP($A32,'Teilnehmende - Starters'!$C:$Z,G$11,0)="","",VLOOKUP($A32,'Teilnehmende - Starters'!$C:$Z,G$11,0)))</f>
        <v/>
      </c>
      <c r="H32" s="1" t="str">
        <f>IF($A32="","",IF(VLOOKUP($A32,'Teilnehmende - Starters'!$C:$Z,H$11,0)="","",VLOOKUP($A32,'Teilnehmende - Starters'!$C:$Z,H$11,0)))</f>
        <v/>
      </c>
      <c r="I32" s="1" t="str">
        <f>IF($A32="","",IF(VLOOKUP($A32,'Teilnehmende - Starters'!$C:$Z,I$11,0)="","",VLOOKUP($A32,'Teilnehmende - Starters'!$C:$Z,I$11,0)))</f>
        <v/>
      </c>
      <c r="J32" s="1" t="str">
        <f>IF($A32="","",IF(VLOOKUP($A32,'Teilnehmende - Starters'!$C:$Z,J$11,0)="","",VLOOKUP($A32,'Teilnehmende - Starters'!$C:$Z,J$11,0)))</f>
        <v/>
      </c>
      <c r="K32" s="1" t="str">
        <f>IF($A32="","",IF(VLOOKUP($A32,'Teilnehmende - Starters'!$C:$Z,K$11,0)="","",VLOOKUP($A32,'Teilnehmende - Starters'!$C:$Z,K$11,0)))</f>
        <v/>
      </c>
      <c r="L32" s="1" t="str">
        <f>IF($A32="","",IF(VLOOKUP($A32,'Teilnehmende - Starters'!$C:$Z,L$11,0)="","",VLOOKUP($A32,'Teilnehmende - Starters'!$C:$Z,L$11,0)))</f>
        <v/>
      </c>
      <c r="M32" s="1" t="str">
        <f>IF($A32="","",IF(VLOOKUP($A32,'Teilnehmende - Starters'!$C:$Z,M$11,0)="","",VLOOKUP($A32,'Teilnehmende - Starters'!$C:$Z,M$11,0)))</f>
        <v/>
      </c>
      <c r="N32" s="17"/>
      <c r="O32" s="1" t="str">
        <f>IF(ISERROR(SMALL('Teilnehmende - Starters'!$D$81:$D$156,ROW(A18))),"",SMALL('Teilnehmende - Starters'!$D$81:$D$156,ROW(A18)))</f>
        <v/>
      </c>
      <c r="P32" s="1" t="str">
        <f>IF($O32="","",IF(VLOOKUP($O32,'Teilnehmende - Starters'!$D:$Z,P$11,0)="","",
IF(RIGHT(VLOOKUP($O32,'Teilnehmende - Starters'!$D:$Z,P$11,0),1)=" ",LEFT(VLOOKUP($O32,'Teilnehmende - Starters'!$D:$Z,P$11,0),LEN(VLOOKUP($O32,'Teilnehmende - Starters'!$D:$Z,P$11,0))-1),
VLOOKUP($O32,'Teilnehmende - Starters'!$D:$Z,P$11,0))))</f>
        <v/>
      </c>
      <c r="Q32" s="1" t="str">
        <f>IF($O32="","",IF(VLOOKUP($O32,'Teilnehmende - Starters'!$D:$Z,Q$11,0)="","",
IF(RIGHT(VLOOKUP($O32,'Teilnehmende - Starters'!$D:$Z,Q$11,0),1)=" ",LEFT(VLOOKUP($O32,'Teilnehmende - Starters'!$D:$Z,Q$11,0),LEN(VLOOKUP($O32,'Teilnehmende - Starters'!$D:$Z,Q$11,0))-1),
VLOOKUP($O32,'Teilnehmende - Starters'!$D:$Z,Q$11,0))))</f>
        <v/>
      </c>
      <c r="R32" s="1" t="str">
        <f t="shared" si="19"/>
        <v/>
      </c>
      <c r="S32" s="1" t="str">
        <f>IF($O32="","",IF(VLOOKUP($O32,'Teilnehmende - Starters'!$D:$Z,S$11,0)="","",VLOOKUP($O32,'Teilnehmende - Starters'!$D:$Z,S$11,0)))</f>
        <v/>
      </c>
      <c r="T32" s="1" t="str">
        <f>IF($O32="","",IF(VLOOKUP($O32,'Teilnehmende - Starters'!$D:$Z,T$11,0)="","",VLOOKUP($O32,'Teilnehmende - Starters'!$D:$Z,T$11,0)))</f>
        <v/>
      </c>
      <c r="U32" s="1" t="str">
        <f>IF($O32="","",IF(VLOOKUP(O32,'Teilnehmende - Starters'!$C:$I,7,0)="w",IF(OR(S32=20,S32=19),"DE","ME"),IF(OR(S32=20,S32=19),"HE","JE")))</f>
        <v/>
      </c>
      <c r="V32" s="1" t="str">
        <f t="shared" si="20"/>
        <v/>
      </c>
      <c r="W32" s="17"/>
      <c r="X32" s="1" t="str">
        <f>IF(ISERROR(SMALL('Teilnehmende - Starters'!$E$81:$E$156,ROW(A18))),"",SMALL('Teilnehmende - Starters'!$E$81:$E$156,ROW(A18)))</f>
        <v/>
      </c>
      <c r="Y32" s="1" t="str">
        <f>IF(X32="","",VLOOKUP(X32,'Teilnehmende - Starters'!$C:$Z,5,0)&amp;" "&amp;VLOOKUP(X32,'Teilnehmende - Starters'!$C:$Z,6,0))</f>
        <v/>
      </c>
      <c r="Z32" s="1" t="str">
        <f t="shared" si="21"/>
        <v/>
      </c>
      <c r="AA32" s="1" t="str">
        <f>IF(X32="","",IF(VLOOKUP(X32,'Teilnehmende - Starters'!$C:$Z,18,0)="Freimeldung",$A$2*100+99,VLOOKUP(Y32,'Teilnehmende - Starters'!$AA$5:$AD$80,4,FALSE)))</f>
        <v/>
      </c>
      <c r="AB32" s="1" t="str">
        <f>IF(AA32="","",IF(VLOOKUP(X32,'Teilnehmende - Starters'!$C:$Z,18,0)="Freimeldung","Freimeldung",VLOOKUP(AA32,$A$15:$E$77,4,0)&amp;" "&amp;VLOOKUP(AA32,$A$15:$E$77,5,0)))</f>
        <v/>
      </c>
      <c r="AC32" s="1" t="str">
        <f>IF(AA32="","",IF(VLOOKUP(X32,'Teilnehmende - Starters'!$C:$Z,18,0)="Freimeldung","",VLOOKUP(AA32,$A$15:$C$77,3,0)))</f>
        <v/>
      </c>
      <c r="AD32" s="1" t="str">
        <f>IF($X32="","",IF(VLOOKUP($X32,'Teilnehmende - Starters'!$C:$Z,AD$11,0)="","",VLOOKUP($X32,'Teilnehmende - Starters'!$C:$Z,AD$11,0)))</f>
        <v/>
      </c>
      <c r="AE32" s="1" t="str">
        <f>IF($X32="","",IF(VLOOKUP($X32,'Teilnehmende - Starters'!$C:$Z,AE$11,0)="","",VLOOKUP($X32,'Teilnehmende - Starters'!$C:$Z,AE$11,0)))</f>
        <v/>
      </c>
      <c r="AF32" s="1" t="str">
        <f>IF($X32="","",IF(VLOOKUP(X32,'Teilnehmende - Starters'!$C:$I,7,0)="w",IF(OR(AD32=20,AD32=19),"DD","MD"),IF(OR(AD32=20,AD32=19),"HD","JD")))</f>
        <v/>
      </c>
      <c r="AG32" s="1" t="str">
        <f t="shared" si="22"/>
        <v/>
      </c>
      <c r="AH32" s="17"/>
      <c r="AI32" s="1" t="str">
        <f>IF(ISERROR(SMALL('Teilnehmende - Starters'!$F$81:$F$156,ROW(#REF!))),"",SMALL('Teilnehmende - Starters'!$F$81:$F$156,ROW(#REF!)))</f>
        <v/>
      </c>
      <c r="AJ32" s="1" t="str">
        <f>IF(AI32="","",VLOOKUP(AI32,'Teilnehmende - Starters'!$C:$Z,5,0)&amp;" "&amp;VLOOKUP(AI32,'Teilnehmende - Starters'!$C:$Z,6,0))</f>
        <v/>
      </c>
      <c r="AK32" s="1" t="str">
        <f t="shared" si="23"/>
        <v/>
      </c>
      <c r="AL32" s="1" t="str">
        <f>IF(AI32="","",IF(VLOOKUP(AI32,'Teilnehmende - Starters'!$C:$AN,21,0)="Freimeldung",$A$2*100+99,VLOOKUP(AJ32,'Teilnehmende - Starters'!$AB$5:$AD$80,3,FALSE)))</f>
        <v/>
      </c>
      <c r="AM32" s="1" t="str">
        <f>IF(AL32="","",IF(VLOOKUP(AI32,'Teilnehmende - Starters'!$C:$Z,21,0)="Freimeldung","Freimeldung",VLOOKUP(AL32,$A$15:$E$77,4,0)&amp;" "&amp;VLOOKUP(AL32,$A$15:$E$77,5,0)))</f>
        <v/>
      </c>
      <c r="AN32" s="1" t="str">
        <f>IF(AL32="","",IF(VLOOKUP(AI32,'Teilnehmende - Starters'!$C:$Z,21,0)="Freimeldung","",VLOOKUP(AL32,$A$15:$C$77,3,0)))</f>
        <v/>
      </c>
      <c r="AO32" s="1" t="str">
        <f>IF($AI32="","",IF(VLOOKUP($AI32,'Teilnehmende - Starters'!$C:$Z,AO$11,0)="","",VLOOKUP($AI32,'Teilnehmende - Starters'!$C:$Z,AO$11,0)))</f>
        <v/>
      </c>
      <c r="AP32" s="1" t="str">
        <f>IF($AI32="","",IF(VLOOKUP($AI32,'Teilnehmende - Starters'!$C:$Z,AP$11,0)="","",VLOOKUP($AI32,'Teilnehmende - Starters'!$C:$Z,AP$11,0)))</f>
        <v/>
      </c>
      <c r="AQ32" s="1" t="str">
        <f t="shared" si="17"/>
        <v/>
      </c>
      <c r="AR32" s="1" t="str">
        <f t="shared" si="24"/>
        <v/>
      </c>
    </row>
    <row r="33" spans="1:44" x14ac:dyDescent="0.3">
      <c r="A33" s="1" t="str">
        <f>IF(ISERROR(SMALL('Teilnehmende - Starters'!$C$81:$C$156,ROW(A19))),"",SMALL('Teilnehmende - Starters'!$C$81:$C$156,ROW(A19)))</f>
        <v/>
      </c>
      <c r="B33" s="1" t="str">
        <f>IF($A33="","",IF(VLOOKUP($A33,'Teilnehmende - Starters'!$C:$Z,B$11,0)="","",SUBSTITUTE(VLOOKUP($A33,'Teilnehmende - Starters'!$C:$Z,B$11,0)," ","")))</f>
        <v/>
      </c>
      <c r="C33" s="1" t="str">
        <f>IF(A33="","",VLOOKUP(INT(A33/100),'Vereine - Clubs'!$C:$H,4,0))</f>
        <v/>
      </c>
      <c r="D33" s="1" t="str">
        <f>IF($A33="","",IF(VLOOKUP($A33,'Teilnehmende - Starters'!$C:$Z,D$11,0)="","",
IF(RIGHT(VLOOKUP($A33,'Teilnehmende - Starters'!$C:$Z,D$11,0),1)=" ",LEFT(VLOOKUP($A33,'Teilnehmende - Starters'!$C:$Z,D$11,0),LEN(VLOOKUP($A33,'Teilnehmende - Starters'!$C:$Z,D$11,0))-1),
VLOOKUP($A33,'Teilnehmende - Starters'!$C:$Z,D$11,0))))</f>
        <v/>
      </c>
      <c r="E33" s="1" t="str">
        <f>IF($A33="","",IF(VLOOKUP($A33,'Teilnehmende - Starters'!$C:$Z,E$11,0)="","",
IF(RIGHT(VLOOKUP($A33,'Teilnehmende - Starters'!$C:$Z,E$11,0),1)=" ",LEFT(VLOOKUP($A33,'Teilnehmende - Starters'!$C:$Z,E$11,0),LEN(VLOOKUP($A33,'Teilnehmende - Starters'!$C:$Z,E$11,0))-1),
VLOOKUP($A33,'Teilnehmende - Starters'!$C:$Z,E$11,0))))</f>
        <v/>
      </c>
      <c r="F33" s="72" t="str">
        <f>IF($A33="","",IF(VLOOKUP($A33,'Teilnehmende - Starters'!$C:$Z,F$11,0)="","",VLOOKUP($A33,'Teilnehmende - Starters'!$C:$Z,F$11,0)))</f>
        <v/>
      </c>
      <c r="G33" s="1" t="str">
        <f>IF($A33="","",IF(VLOOKUP($A33,'Teilnehmende - Starters'!$C:$Z,G$11,0)="","",VLOOKUP($A33,'Teilnehmende - Starters'!$C:$Z,G$11,0)))</f>
        <v/>
      </c>
      <c r="H33" s="1" t="str">
        <f>IF($A33="","",IF(VLOOKUP($A33,'Teilnehmende - Starters'!$C:$Z,H$11,0)="","",VLOOKUP($A33,'Teilnehmende - Starters'!$C:$Z,H$11,0)))</f>
        <v/>
      </c>
      <c r="I33" s="1" t="str">
        <f>IF($A33="","",IF(VLOOKUP($A33,'Teilnehmende - Starters'!$C:$Z,I$11,0)="","",VLOOKUP($A33,'Teilnehmende - Starters'!$C:$Z,I$11,0)))</f>
        <v/>
      </c>
      <c r="J33" s="1" t="str">
        <f>IF($A33="","",IF(VLOOKUP($A33,'Teilnehmende - Starters'!$C:$Z,J$11,0)="","",VLOOKUP($A33,'Teilnehmende - Starters'!$C:$Z,J$11,0)))</f>
        <v/>
      </c>
      <c r="K33" s="1" t="str">
        <f>IF($A33="","",IF(VLOOKUP($A33,'Teilnehmende - Starters'!$C:$Z,K$11,0)="","",VLOOKUP($A33,'Teilnehmende - Starters'!$C:$Z,K$11,0)))</f>
        <v/>
      </c>
      <c r="L33" s="1" t="str">
        <f>IF($A33="","",IF(VLOOKUP($A33,'Teilnehmende - Starters'!$C:$Z,L$11,0)="","",VLOOKUP($A33,'Teilnehmende - Starters'!$C:$Z,L$11,0)))</f>
        <v/>
      </c>
      <c r="M33" s="1" t="str">
        <f>IF($A33="","",IF(VLOOKUP($A33,'Teilnehmende - Starters'!$C:$Z,M$11,0)="","",VLOOKUP($A33,'Teilnehmende - Starters'!$C:$Z,M$11,0)))</f>
        <v/>
      </c>
      <c r="N33" s="17"/>
      <c r="O33" s="1" t="str">
        <f>IF(ISERROR(SMALL('Teilnehmende - Starters'!$D$81:$D$156,ROW(A19))),"",SMALL('Teilnehmende - Starters'!$D$81:$D$156,ROW(A19)))</f>
        <v/>
      </c>
      <c r="P33" s="1" t="str">
        <f>IF($O33="","",IF(VLOOKUP($O33,'Teilnehmende - Starters'!$D:$Z,P$11,0)="","",
IF(RIGHT(VLOOKUP($O33,'Teilnehmende - Starters'!$D:$Z,P$11,0),1)=" ",LEFT(VLOOKUP($O33,'Teilnehmende - Starters'!$D:$Z,P$11,0),LEN(VLOOKUP($O33,'Teilnehmende - Starters'!$D:$Z,P$11,0))-1),
VLOOKUP($O33,'Teilnehmende - Starters'!$D:$Z,P$11,0))))</f>
        <v/>
      </c>
      <c r="Q33" s="1" t="str">
        <f>IF($O33="","",IF(VLOOKUP($O33,'Teilnehmende - Starters'!$D:$Z,Q$11,0)="","",
IF(RIGHT(VLOOKUP($O33,'Teilnehmende - Starters'!$D:$Z,Q$11,0),1)=" ",LEFT(VLOOKUP($O33,'Teilnehmende - Starters'!$D:$Z,Q$11,0),LEN(VLOOKUP($O33,'Teilnehmende - Starters'!$D:$Z,Q$11,0))-1),
VLOOKUP($O33,'Teilnehmende - Starters'!$D:$Z,Q$11,0))))</f>
        <v/>
      </c>
      <c r="R33" s="1" t="str">
        <f t="shared" si="19"/>
        <v/>
      </c>
      <c r="S33" s="1" t="str">
        <f>IF($O33="","",IF(VLOOKUP($O33,'Teilnehmende - Starters'!$D:$Z,S$11,0)="","",VLOOKUP($O33,'Teilnehmende - Starters'!$D:$Z,S$11,0)))</f>
        <v/>
      </c>
      <c r="T33" s="1" t="str">
        <f>IF($O33="","",IF(VLOOKUP($O33,'Teilnehmende - Starters'!$D:$Z,T$11,0)="","",VLOOKUP($O33,'Teilnehmende - Starters'!$D:$Z,T$11,0)))</f>
        <v/>
      </c>
      <c r="U33" s="1" t="str">
        <f>IF($O33="","",IF(VLOOKUP(O33,'Teilnehmende - Starters'!$C:$I,7,0)="w",IF(OR(S33=20,S33=19),"DE","ME"),IF(OR(S33=20,S33=19),"HE","JE")))</f>
        <v/>
      </c>
      <c r="V33" s="1" t="str">
        <f t="shared" si="20"/>
        <v/>
      </c>
      <c r="W33" s="17"/>
      <c r="X33" s="1" t="str">
        <f>IF(ISERROR(SMALL('Teilnehmende - Starters'!$E$81:$E$156,ROW(A19))),"",SMALL('Teilnehmende - Starters'!$E$81:$E$156,ROW(A19)))</f>
        <v/>
      </c>
      <c r="Y33" s="1" t="str">
        <f>IF(X33="","",VLOOKUP(X33,'Teilnehmende - Starters'!$C:$Z,5,0)&amp;" "&amp;VLOOKUP(X33,'Teilnehmende - Starters'!$C:$Z,6,0))</f>
        <v/>
      </c>
      <c r="Z33" s="1" t="str">
        <f t="shared" si="21"/>
        <v/>
      </c>
      <c r="AA33" s="1" t="str">
        <f>IF(X33="","",IF(VLOOKUP(X33,'Teilnehmende - Starters'!$C:$Z,18,0)="Freimeldung",$A$2*100+99,VLOOKUP(Y33,'Teilnehmende - Starters'!$AA$5:$AD$80,4,FALSE)))</f>
        <v/>
      </c>
      <c r="AB33" s="1" t="str">
        <f>IF(AA33="","",IF(VLOOKUP(X33,'Teilnehmende - Starters'!$C:$Z,18,0)="Freimeldung","Freimeldung",VLOOKUP(AA33,$A$15:$E$77,4,0)&amp;" "&amp;VLOOKUP(AA33,$A$15:$E$77,5,0)))</f>
        <v/>
      </c>
      <c r="AC33" s="1" t="str">
        <f>IF(AA33="","",IF(VLOOKUP(X33,'Teilnehmende - Starters'!$C:$Z,18,0)="Freimeldung","",VLOOKUP(AA33,$A$15:$C$77,3,0)))</f>
        <v/>
      </c>
      <c r="AD33" s="1" t="str">
        <f>IF($X33="","",IF(VLOOKUP($X33,'Teilnehmende - Starters'!$C:$Z,AD$11,0)="","",VLOOKUP($X33,'Teilnehmende - Starters'!$C:$Z,AD$11,0)))</f>
        <v/>
      </c>
      <c r="AE33" s="1" t="str">
        <f>IF($X33="","",IF(VLOOKUP($X33,'Teilnehmende - Starters'!$C:$Z,AE$11,0)="","",VLOOKUP($X33,'Teilnehmende - Starters'!$C:$Z,AE$11,0)))</f>
        <v/>
      </c>
      <c r="AF33" s="1" t="str">
        <f>IF($X33="","",IF(VLOOKUP(X33,'Teilnehmende - Starters'!$C:$I,7,0)="w",IF(OR(AD33=20,AD33=19),"DD","MD"),IF(OR(AD33=20,AD33=19),"HD","JD")))</f>
        <v/>
      </c>
      <c r="AG33" s="1" t="str">
        <f t="shared" si="22"/>
        <v/>
      </c>
      <c r="AH33" s="17"/>
      <c r="AI33" s="1" t="str">
        <f>IF(ISERROR(SMALL('Teilnehmende - Starters'!$F$81:$F$156,ROW(#REF!))),"",SMALL('Teilnehmende - Starters'!$F$81:$F$156,ROW(#REF!)))</f>
        <v/>
      </c>
      <c r="AJ33" s="1" t="str">
        <f>IF(AI33="","",VLOOKUP(AI33,'Teilnehmende - Starters'!$C:$Z,5,0)&amp;" "&amp;VLOOKUP(AI33,'Teilnehmende - Starters'!$C:$Z,6,0))</f>
        <v/>
      </c>
      <c r="AK33" s="1" t="str">
        <f t="shared" si="23"/>
        <v/>
      </c>
      <c r="AL33" s="1" t="str">
        <f>IF(AI33="","",IF(VLOOKUP(AI33,'Teilnehmende - Starters'!$C:$AN,21,0)="Freimeldung",$A$2*100+99,VLOOKUP(AJ33,'Teilnehmende - Starters'!$AB$5:$AD$80,3,FALSE)))</f>
        <v/>
      </c>
      <c r="AM33" s="1" t="str">
        <f>IF(AL33="","",IF(VLOOKUP(AI33,'Teilnehmende - Starters'!$C:$Z,21,0)="Freimeldung","Freimeldung",VLOOKUP(AL33,$A$15:$E$77,4,0)&amp;" "&amp;VLOOKUP(AL33,$A$15:$E$77,5,0)))</f>
        <v/>
      </c>
      <c r="AN33" s="1" t="str">
        <f>IF(AL33="","",IF(VLOOKUP(AI33,'Teilnehmende - Starters'!$C:$Z,21,0)="Freimeldung","",VLOOKUP(AL33,$A$15:$C$77,3,0)))</f>
        <v/>
      </c>
      <c r="AO33" s="1" t="str">
        <f>IF($AI33="","",IF(VLOOKUP($AI33,'Teilnehmende - Starters'!$C:$Z,AO$11,0)="","",VLOOKUP($AI33,'Teilnehmende - Starters'!$C:$Z,AO$11,0)))</f>
        <v/>
      </c>
      <c r="AP33" s="1" t="str">
        <f>IF($AI33="","",IF(VLOOKUP($AI33,'Teilnehmende - Starters'!$C:$Z,AP$11,0)="","",VLOOKUP($AI33,'Teilnehmende - Starters'!$C:$Z,AP$11,0)))</f>
        <v/>
      </c>
      <c r="AQ33" s="1" t="str">
        <f t="shared" si="17"/>
        <v/>
      </c>
      <c r="AR33" s="1" t="str">
        <f t="shared" si="24"/>
        <v/>
      </c>
    </row>
    <row r="34" spans="1:44" x14ac:dyDescent="0.3">
      <c r="A34" s="1" t="str">
        <f>IF(ISERROR(SMALL('Teilnehmende - Starters'!$C$81:$C$156,ROW(A20))),"",SMALL('Teilnehmende - Starters'!$C$81:$C$156,ROW(A20)))</f>
        <v/>
      </c>
      <c r="B34" s="1" t="str">
        <f>IF($A34="","",IF(VLOOKUP($A34,'Teilnehmende - Starters'!$C:$Z,B$11,0)="","",SUBSTITUTE(VLOOKUP($A34,'Teilnehmende - Starters'!$C:$Z,B$11,0)," ","")))</f>
        <v/>
      </c>
      <c r="C34" s="1" t="str">
        <f>IF(A34="","",VLOOKUP(INT(A34/100),'Vereine - Clubs'!$C:$H,4,0))</f>
        <v/>
      </c>
      <c r="D34" s="1" t="str">
        <f>IF($A34="","",IF(VLOOKUP($A34,'Teilnehmende - Starters'!$C:$Z,D$11,0)="","",
IF(RIGHT(VLOOKUP($A34,'Teilnehmende - Starters'!$C:$Z,D$11,0),1)=" ",LEFT(VLOOKUP($A34,'Teilnehmende - Starters'!$C:$Z,D$11,0),LEN(VLOOKUP($A34,'Teilnehmende - Starters'!$C:$Z,D$11,0))-1),
VLOOKUP($A34,'Teilnehmende - Starters'!$C:$Z,D$11,0))))</f>
        <v/>
      </c>
      <c r="E34" s="1" t="str">
        <f>IF($A34="","",IF(VLOOKUP($A34,'Teilnehmende - Starters'!$C:$Z,E$11,0)="","",
IF(RIGHT(VLOOKUP($A34,'Teilnehmende - Starters'!$C:$Z,E$11,0),1)=" ",LEFT(VLOOKUP($A34,'Teilnehmende - Starters'!$C:$Z,E$11,0),LEN(VLOOKUP($A34,'Teilnehmende - Starters'!$C:$Z,E$11,0))-1),
VLOOKUP($A34,'Teilnehmende - Starters'!$C:$Z,E$11,0))))</f>
        <v/>
      </c>
      <c r="F34" s="72" t="str">
        <f>IF($A34="","",IF(VLOOKUP($A34,'Teilnehmende - Starters'!$C:$Z,F$11,0)="","",VLOOKUP($A34,'Teilnehmende - Starters'!$C:$Z,F$11,0)))</f>
        <v/>
      </c>
      <c r="G34" s="1" t="str">
        <f>IF($A34="","",IF(VLOOKUP($A34,'Teilnehmende - Starters'!$C:$Z,G$11,0)="","",VLOOKUP($A34,'Teilnehmende - Starters'!$C:$Z,G$11,0)))</f>
        <v/>
      </c>
      <c r="H34" s="1" t="str">
        <f>IF($A34="","",IF(VLOOKUP($A34,'Teilnehmende - Starters'!$C:$Z,H$11,0)="","",VLOOKUP($A34,'Teilnehmende - Starters'!$C:$Z,H$11,0)))</f>
        <v/>
      </c>
      <c r="I34" s="1" t="str">
        <f>IF($A34="","",IF(VLOOKUP($A34,'Teilnehmende - Starters'!$C:$Z,I$11,0)="","",VLOOKUP($A34,'Teilnehmende - Starters'!$C:$Z,I$11,0)))</f>
        <v/>
      </c>
      <c r="J34" s="1" t="str">
        <f>IF($A34="","",IF(VLOOKUP($A34,'Teilnehmende - Starters'!$C:$Z,J$11,0)="","",VLOOKUP($A34,'Teilnehmende - Starters'!$C:$Z,J$11,0)))</f>
        <v/>
      </c>
      <c r="K34" s="1" t="str">
        <f>IF($A34="","",IF(VLOOKUP($A34,'Teilnehmende - Starters'!$C:$Z,K$11,0)="","",VLOOKUP($A34,'Teilnehmende - Starters'!$C:$Z,K$11,0)))</f>
        <v/>
      </c>
      <c r="L34" s="1" t="str">
        <f>IF($A34="","",IF(VLOOKUP($A34,'Teilnehmende - Starters'!$C:$Z,L$11,0)="","",VLOOKUP($A34,'Teilnehmende - Starters'!$C:$Z,L$11,0)))</f>
        <v/>
      </c>
      <c r="M34" s="1" t="str">
        <f>IF($A34="","",IF(VLOOKUP($A34,'Teilnehmende - Starters'!$C:$Z,M$11,0)="","",VLOOKUP($A34,'Teilnehmende - Starters'!$C:$Z,M$11,0)))</f>
        <v/>
      </c>
      <c r="N34" s="17"/>
      <c r="O34" s="1" t="str">
        <f>IF(ISERROR(SMALL('Teilnehmende - Starters'!$D$81:$D$156,ROW(A20))),"",SMALL('Teilnehmende - Starters'!$D$81:$D$156,ROW(A20)))</f>
        <v/>
      </c>
      <c r="P34" s="1" t="str">
        <f>IF($O34="","",IF(VLOOKUP($O34,'Teilnehmende - Starters'!$D:$Z,P$11,0)="","",
IF(RIGHT(VLOOKUP($O34,'Teilnehmende - Starters'!$D:$Z,P$11,0),1)=" ",LEFT(VLOOKUP($O34,'Teilnehmende - Starters'!$D:$Z,P$11,0),LEN(VLOOKUP($O34,'Teilnehmende - Starters'!$D:$Z,P$11,0))-1),
VLOOKUP($O34,'Teilnehmende - Starters'!$D:$Z,P$11,0))))</f>
        <v/>
      </c>
      <c r="Q34" s="1" t="str">
        <f>IF($O34="","",IF(VLOOKUP($O34,'Teilnehmende - Starters'!$D:$Z,Q$11,0)="","",
IF(RIGHT(VLOOKUP($O34,'Teilnehmende - Starters'!$D:$Z,Q$11,0),1)=" ",LEFT(VLOOKUP($O34,'Teilnehmende - Starters'!$D:$Z,Q$11,0),LEN(VLOOKUP($O34,'Teilnehmende - Starters'!$D:$Z,Q$11,0))-1),
VLOOKUP($O34,'Teilnehmende - Starters'!$D:$Z,Q$11,0))))</f>
        <v/>
      </c>
      <c r="R34" s="1" t="str">
        <f t="shared" si="19"/>
        <v/>
      </c>
      <c r="S34" s="1" t="str">
        <f>IF($O34="","",IF(VLOOKUP($O34,'Teilnehmende - Starters'!$D:$Z,S$11,0)="","",VLOOKUP($O34,'Teilnehmende - Starters'!$D:$Z,S$11,0)))</f>
        <v/>
      </c>
      <c r="T34" s="1" t="str">
        <f>IF($O34="","",IF(VLOOKUP($O34,'Teilnehmende - Starters'!$D:$Z,T$11,0)="","",VLOOKUP($O34,'Teilnehmende - Starters'!$D:$Z,T$11,0)))</f>
        <v/>
      </c>
      <c r="U34" s="1" t="str">
        <f>IF($O34="","",IF(VLOOKUP(O34,'Teilnehmende - Starters'!$C:$I,7,0)="w",IF(OR(S34=20,S34=19),"DE","ME"),IF(OR(S34=20,S34=19),"HE","JE")))</f>
        <v/>
      </c>
      <c r="V34" s="1" t="str">
        <f t="shared" si="20"/>
        <v/>
      </c>
      <c r="W34" s="17"/>
      <c r="X34" s="1" t="str">
        <f>IF(ISERROR(SMALL('Teilnehmende - Starters'!$E$81:$E$156,ROW(A20))),"",SMALL('Teilnehmende - Starters'!$E$81:$E$156,ROW(A20)))</f>
        <v/>
      </c>
      <c r="Y34" s="1" t="str">
        <f>IF(X34="","",VLOOKUP(X34,'Teilnehmende - Starters'!$C:$Z,5,0)&amp;" "&amp;VLOOKUP(X34,'Teilnehmende - Starters'!$C:$Z,6,0))</f>
        <v/>
      </c>
      <c r="Z34" s="1" t="str">
        <f t="shared" si="21"/>
        <v/>
      </c>
      <c r="AA34" s="1" t="str">
        <f>IF(X34="","",IF(VLOOKUP(X34,'Teilnehmende - Starters'!$C:$Z,18,0)="Freimeldung",$A$2*100+99,VLOOKUP(Y34,'Teilnehmende - Starters'!$AA$5:$AD$80,4,FALSE)))</f>
        <v/>
      </c>
      <c r="AB34" s="1" t="str">
        <f>IF(AA34="","",IF(VLOOKUP(X34,'Teilnehmende - Starters'!$C:$Z,18,0)="Freimeldung","Freimeldung",VLOOKUP(AA34,$A$15:$E$77,4,0)&amp;" "&amp;VLOOKUP(AA34,$A$15:$E$77,5,0)))</f>
        <v/>
      </c>
      <c r="AC34" s="1" t="str">
        <f>IF(AA34="","",IF(VLOOKUP(X34,'Teilnehmende - Starters'!$C:$Z,18,0)="Freimeldung","",VLOOKUP(AA34,$A$15:$C$77,3,0)))</f>
        <v/>
      </c>
      <c r="AD34" s="1" t="str">
        <f>IF($X34="","",IF(VLOOKUP($X34,'Teilnehmende - Starters'!$C:$Z,AD$11,0)="","",VLOOKUP($X34,'Teilnehmende - Starters'!$C:$Z,AD$11,0)))</f>
        <v/>
      </c>
      <c r="AE34" s="1" t="str">
        <f>IF($X34="","",IF(VLOOKUP($X34,'Teilnehmende - Starters'!$C:$Z,AE$11,0)="","",VLOOKUP($X34,'Teilnehmende - Starters'!$C:$Z,AE$11,0)))</f>
        <v/>
      </c>
      <c r="AF34" s="1" t="str">
        <f>IF($X34="","",IF(VLOOKUP(X34,'Teilnehmende - Starters'!$C:$I,7,0)="w",IF(OR(AD34=20,AD34=19),"DD","MD"),IF(OR(AD34=20,AD34=19),"HD","JD")))</f>
        <v/>
      </c>
      <c r="AG34" s="1" t="str">
        <f t="shared" si="22"/>
        <v/>
      </c>
      <c r="AH34" s="17"/>
      <c r="AI34" s="1" t="str">
        <f>IF(ISERROR(SMALL('Teilnehmende - Starters'!$F$81:$F$156,ROW(#REF!))),"",SMALL('Teilnehmende - Starters'!$F$81:$F$156,ROW(#REF!)))</f>
        <v/>
      </c>
      <c r="AJ34" s="1" t="str">
        <f>IF(AI34="","",VLOOKUP(AI34,'Teilnehmende - Starters'!$C:$Z,5,0)&amp;" "&amp;VLOOKUP(AI34,'Teilnehmende - Starters'!$C:$Z,6,0))</f>
        <v/>
      </c>
      <c r="AK34" s="1" t="str">
        <f t="shared" si="23"/>
        <v/>
      </c>
      <c r="AL34" s="1" t="str">
        <f>IF(AI34="","",IF(VLOOKUP(AI34,'Teilnehmende - Starters'!$C:$AN,21,0)="Freimeldung",$A$2*100+99,VLOOKUP(AJ34,'Teilnehmende - Starters'!$AB$5:$AD$80,3,FALSE)))</f>
        <v/>
      </c>
      <c r="AM34" s="1" t="str">
        <f>IF(AL34="","",IF(VLOOKUP(AI34,'Teilnehmende - Starters'!$C:$Z,21,0)="Freimeldung","Freimeldung",VLOOKUP(AL34,$A$15:$E$77,4,0)&amp;" "&amp;VLOOKUP(AL34,$A$15:$E$77,5,0)))</f>
        <v/>
      </c>
      <c r="AN34" s="1" t="str">
        <f>IF(AL34="","",IF(VLOOKUP(AI34,'Teilnehmende - Starters'!$C:$Z,21,0)="Freimeldung","",VLOOKUP(AL34,$A$15:$C$77,3,0)))</f>
        <v/>
      </c>
      <c r="AO34" s="1" t="str">
        <f>IF($AI34="","",IF(VLOOKUP($AI34,'Teilnehmende - Starters'!$C:$Z,AO$11,0)="","",VLOOKUP($AI34,'Teilnehmende - Starters'!$C:$Z,AO$11,0)))</f>
        <v/>
      </c>
      <c r="AP34" s="1" t="str">
        <f>IF($AI34="","",IF(VLOOKUP($AI34,'Teilnehmende - Starters'!$C:$Z,AP$11,0)="","",VLOOKUP($AI34,'Teilnehmende - Starters'!$C:$Z,AP$11,0)))</f>
        <v/>
      </c>
      <c r="AQ34" s="1" t="str">
        <f t="shared" si="17"/>
        <v/>
      </c>
      <c r="AR34" s="1" t="str">
        <f t="shared" si="24"/>
        <v/>
      </c>
    </row>
    <row r="35" spans="1:44" x14ac:dyDescent="0.3">
      <c r="A35" s="1" t="str">
        <f>IF(ISERROR(SMALL('Teilnehmende - Starters'!$C$81:$C$156,ROW(A21))),"",SMALL('Teilnehmende - Starters'!$C$81:$C$156,ROW(A21)))</f>
        <v/>
      </c>
      <c r="B35" s="1" t="str">
        <f>IF($A35="","",IF(VLOOKUP($A35,'Teilnehmende - Starters'!$C:$Z,B$11,0)="","",SUBSTITUTE(VLOOKUP($A35,'Teilnehmende - Starters'!$C:$Z,B$11,0)," ","")))</f>
        <v/>
      </c>
      <c r="C35" s="1" t="str">
        <f>IF(A35="","",VLOOKUP(INT(A35/100),'Vereine - Clubs'!$C:$H,4,0))</f>
        <v/>
      </c>
      <c r="D35" s="1" t="str">
        <f>IF($A35="","",IF(VLOOKUP($A35,'Teilnehmende - Starters'!$C:$Z,D$11,0)="","",
IF(RIGHT(VLOOKUP($A35,'Teilnehmende - Starters'!$C:$Z,D$11,0),1)=" ",LEFT(VLOOKUP($A35,'Teilnehmende - Starters'!$C:$Z,D$11,0),LEN(VLOOKUP($A35,'Teilnehmende - Starters'!$C:$Z,D$11,0))-1),
VLOOKUP($A35,'Teilnehmende - Starters'!$C:$Z,D$11,0))))</f>
        <v/>
      </c>
      <c r="E35" s="1" t="str">
        <f>IF($A35="","",IF(VLOOKUP($A35,'Teilnehmende - Starters'!$C:$Z,E$11,0)="","",
IF(RIGHT(VLOOKUP($A35,'Teilnehmende - Starters'!$C:$Z,E$11,0),1)=" ",LEFT(VLOOKUP($A35,'Teilnehmende - Starters'!$C:$Z,E$11,0),LEN(VLOOKUP($A35,'Teilnehmende - Starters'!$C:$Z,E$11,0))-1),
VLOOKUP($A35,'Teilnehmende - Starters'!$C:$Z,E$11,0))))</f>
        <v/>
      </c>
      <c r="F35" s="72" t="str">
        <f>IF($A35="","",IF(VLOOKUP($A35,'Teilnehmende - Starters'!$C:$Z,F$11,0)="","",VLOOKUP($A35,'Teilnehmende - Starters'!$C:$Z,F$11,0)))</f>
        <v/>
      </c>
      <c r="G35" s="1" t="str">
        <f>IF($A35="","",IF(VLOOKUP($A35,'Teilnehmende - Starters'!$C:$Z,G$11,0)="","",VLOOKUP($A35,'Teilnehmende - Starters'!$C:$Z,G$11,0)))</f>
        <v/>
      </c>
      <c r="H35" s="1" t="str">
        <f>IF($A35="","",IF(VLOOKUP($A35,'Teilnehmende - Starters'!$C:$Z,H$11,0)="","",VLOOKUP($A35,'Teilnehmende - Starters'!$C:$Z,H$11,0)))</f>
        <v/>
      </c>
      <c r="I35" s="1" t="str">
        <f>IF($A35="","",IF(VLOOKUP($A35,'Teilnehmende - Starters'!$C:$Z,I$11,0)="","",VLOOKUP($A35,'Teilnehmende - Starters'!$C:$Z,I$11,0)))</f>
        <v/>
      </c>
      <c r="J35" s="1" t="str">
        <f>IF($A35="","",IF(VLOOKUP($A35,'Teilnehmende - Starters'!$C:$Z,J$11,0)="","",VLOOKUP($A35,'Teilnehmende - Starters'!$C:$Z,J$11,0)))</f>
        <v/>
      </c>
      <c r="K35" s="1" t="str">
        <f>IF($A35="","",IF(VLOOKUP($A35,'Teilnehmende - Starters'!$C:$Z,K$11,0)="","",VLOOKUP($A35,'Teilnehmende - Starters'!$C:$Z,K$11,0)))</f>
        <v/>
      </c>
      <c r="L35" s="1" t="str">
        <f>IF($A35="","",IF(VLOOKUP($A35,'Teilnehmende - Starters'!$C:$Z,L$11,0)="","",VLOOKUP($A35,'Teilnehmende - Starters'!$C:$Z,L$11,0)))</f>
        <v/>
      </c>
      <c r="M35" s="1" t="str">
        <f>IF($A35="","",IF(VLOOKUP($A35,'Teilnehmende - Starters'!$C:$Z,M$11,0)="","",VLOOKUP($A35,'Teilnehmende - Starters'!$C:$Z,M$11,0)))</f>
        <v/>
      </c>
      <c r="N35" s="17"/>
      <c r="O35" s="1" t="str">
        <f>IF(ISERROR(SMALL('Teilnehmende - Starters'!$D$81:$D$156,ROW(A21))),"",SMALL('Teilnehmende - Starters'!$D$81:$D$156,ROW(A21)))</f>
        <v/>
      </c>
      <c r="P35" s="1" t="str">
        <f>IF($O35="","",IF(VLOOKUP($O35,'Teilnehmende - Starters'!$D:$Z,P$11,0)="","",
IF(RIGHT(VLOOKUP($O35,'Teilnehmende - Starters'!$D:$Z,P$11,0),1)=" ",LEFT(VLOOKUP($O35,'Teilnehmende - Starters'!$D:$Z,P$11,0),LEN(VLOOKUP($O35,'Teilnehmende - Starters'!$D:$Z,P$11,0))-1),
VLOOKUP($O35,'Teilnehmende - Starters'!$D:$Z,P$11,0))))</f>
        <v/>
      </c>
      <c r="Q35" s="1" t="str">
        <f>IF($O35="","",IF(VLOOKUP($O35,'Teilnehmende - Starters'!$D:$Z,Q$11,0)="","",
IF(RIGHT(VLOOKUP($O35,'Teilnehmende - Starters'!$D:$Z,Q$11,0),1)=" ",LEFT(VLOOKUP($O35,'Teilnehmende - Starters'!$D:$Z,Q$11,0),LEN(VLOOKUP($O35,'Teilnehmende - Starters'!$D:$Z,Q$11,0))-1),
VLOOKUP($O35,'Teilnehmende - Starters'!$D:$Z,Q$11,0))))</f>
        <v/>
      </c>
      <c r="R35" s="1" t="str">
        <f t="shared" si="19"/>
        <v/>
      </c>
      <c r="S35" s="1" t="str">
        <f>IF($O35="","",IF(VLOOKUP($O35,'Teilnehmende - Starters'!$D:$Z,S$11,0)="","",VLOOKUP($O35,'Teilnehmende - Starters'!$D:$Z,S$11,0)))</f>
        <v/>
      </c>
      <c r="T35" s="1" t="str">
        <f>IF($O35="","",IF(VLOOKUP($O35,'Teilnehmende - Starters'!$D:$Z,T$11,0)="","",VLOOKUP($O35,'Teilnehmende - Starters'!$D:$Z,T$11,0)))</f>
        <v/>
      </c>
      <c r="U35" s="1" t="str">
        <f>IF($O35="","",IF(VLOOKUP(O35,'Teilnehmende - Starters'!$C:$I,7,0)="w",IF(OR(S35=20,S35=19),"DE","ME"),IF(OR(S35=20,S35=19),"HE","JE")))</f>
        <v/>
      </c>
      <c r="V35" s="1" t="str">
        <f t="shared" si="20"/>
        <v/>
      </c>
      <c r="W35" s="17"/>
      <c r="X35" s="1" t="str">
        <f>IF(ISERROR(SMALL('Teilnehmende - Starters'!$E$81:$E$156,ROW(A21))),"",SMALL('Teilnehmende - Starters'!$E$81:$E$156,ROW(A21)))</f>
        <v/>
      </c>
      <c r="Y35" s="1" t="str">
        <f>IF(X35="","",VLOOKUP(X35,'Teilnehmende - Starters'!$C:$Z,5,0)&amp;" "&amp;VLOOKUP(X35,'Teilnehmende - Starters'!$C:$Z,6,0))</f>
        <v/>
      </c>
      <c r="Z35" s="1" t="str">
        <f t="shared" si="21"/>
        <v/>
      </c>
      <c r="AA35" s="1" t="str">
        <f>IF(X35="","",IF(VLOOKUP(X35,'Teilnehmende - Starters'!$C:$Z,18,0)="Freimeldung",$A$2*100+99,VLOOKUP(Y35,'Teilnehmende - Starters'!$AA$5:$AD$80,4,FALSE)))</f>
        <v/>
      </c>
      <c r="AB35" s="1" t="str">
        <f>IF(AA35="","",IF(VLOOKUP(X35,'Teilnehmende - Starters'!$C:$Z,18,0)="Freimeldung","Freimeldung",VLOOKUP(AA35,$A$15:$E$77,4,0)&amp;" "&amp;VLOOKUP(AA35,$A$15:$E$77,5,0)))</f>
        <v/>
      </c>
      <c r="AC35" s="1" t="str">
        <f>IF(AA35="","",IF(VLOOKUP(X35,'Teilnehmende - Starters'!$C:$Z,18,0)="Freimeldung","",VLOOKUP(AA35,$A$15:$C$77,3,0)))</f>
        <v/>
      </c>
      <c r="AD35" s="1" t="str">
        <f>IF($X35="","",IF(VLOOKUP($X35,'Teilnehmende - Starters'!$C:$Z,AD$11,0)="","",VLOOKUP($X35,'Teilnehmende - Starters'!$C:$Z,AD$11,0)))</f>
        <v/>
      </c>
      <c r="AE35" s="1" t="str">
        <f>IF($X35="","",IF(VLOOKUP($X35,'Teilnehmende - Starters'!$C:$Z,AE$11,0)="","",VLOOKUP($X35,'Teilnehmende - Starters'!$C:$Z,AE$11,0)))</f>
        <v/>
      </c>
      <c r="AF35" s="1" t="str">
        <f>IF($X35="","",IF(VLOOKUP(X35,'Teilnehmende - Starters'!$C:$I,7,0)="w",IF(OR(AD35=20,AD35=19),"DD","MD"),IF(OR(AD35=20,AD35=19),"HD","JD")))</f>
        <v/>
      </c>
      <c r="AG35" s="1" t="str">
        <f t="shared" si="22"/>
        <v/>
      </c>
      <c r="AH35" s="17"/>
      <c r="AI35" s="1" t="str">
        <f>IF(ISERROR(SMALL('Teilnehmende - Starters'!$F$81:$F$156,ROW(#REF!))),"",SMALL('Teilnehmende - Starters'!$F$81:$F$156,ROW(#REF!)))</f>
        <v/>
      </c>
      <c r="AJ35" s="1" t="str">
        <f>IF(AI35="","",VLOOKUP(AI35,'Teilnehmende - Starters'!$C:$Z,5,0)&amp;" "&amp;VLOOKUP(AI35,'Teilnehmende - Starters'!$C:$Z,6,0))</f>
        <v/>
      </c>
      <c r="AK35" s="1" t="str">
        <f t="shared" si="23"/>
        <v/>
      </c>
      <c r="AL35" s="1" t="str">
        <f>IF(AI35="","",IF(VLOOKUP(AI35,'Teilnehmende - Starters'!$C:$AN,21,0)="Freimeldung",$A$2*100+99,VLOOKUP(AJ35,'Teilnehmende - Starters'!$AB$5:$AD$80,3,FALSE)))</f>
        <v/>
      </c>
      <c r="AM35" s="1" t="str">
        <f>IF(AL35="","",IF(VLOOKUP(AI35,'Teilnehmende - Starters'!$C:$Z,21,0)="Freimeldung","Freimeldung",VLOOKUP(AL35,$A$15:$E$77,4,0)&amp;" "&amp;VLOOKUP(AL35,$A$15:$E$77,5,0)))</f>
        <v/>
      </c>
      <c r="AN35" s="1" t="str">
        <f>IF(AL35="","",IF(VLOOKUP(AI35,'Teilnehmende - Starters'!$C:$Z,21,0)="Freimeldung","",VLOOKUP(AL35,$A$15:$C$77,3,0)))</f>
        <v/>
      </c>
      <c r="AO35" s="1" t="str">
        <f>IF($AI35="","",IF(VLOOKUP($AI35,'Teilnehmende - Starters'!$C:$Z,AO$11,0)="","",VLOOKUP($AI35,'Teilnehmende - Starters'!$C:$Z,AO$11,0)))</f>
        <v/>
      </c>
      <c r="AP35" s="1" t="str">
        <f>IF($AI35="","",IF(VLOOKUP($AI35,'Teilnehmende - Starters'!$C:$Z,AP$11,0)="","",VLOOKUP($AI35,'Teilnehmende - Starters'!$C:$Z,AP$11,0)))</f>
        <v/>
      </c>
      <c r="AQ35" s="1" t="str">
        <f t="shared" si="17"/>
        <v/>
      </c>
      <c r="AR35" s="1" t="str">
        <f t="shared" si="24"/>
        <v/>
      </c>
    </row>
    <row r="36" spans="1:44" x14ac:dyDescent="0.3">
      <c r="A36" s="1" t="str">
        <f>IF(ISERROR(SMALL('Teilnehmende - Starters'!$C$81:$C$156,ROW(A22))),"",SMALL('Teilnehmende - Starters'!$C$81:$C$156,ROW(A22)))</f>
        <v/>
      </c>
      <c r="B36" s="1" t="str">
        <f>IF($A36="","",IF(VLOOKUP($A36,'Teilnehmende - Starters'!$C:$Z,B$11,0)="","",SUBSTITUTE(VLOOKUP($A36,'Teilnehmende - Starters'!$C:$Z,B$11,0)," ","")))</f>
        <v/>
      </c>
      <c r="C36" s="1" t="str">
        <f>IF(A36="","",VLOOKUP(INT(A36/100),'Vereine - Clubs'!$C:$H,4,0))</f>
        <v/>
      </c>
      <c r="D36" s="1" t="str">
        <f>IF($A36="","",IF(VLOOKUP($A36,'Teilnehmende - Starters'!$C:$Z,D$11,0)="","",
IF(RIGHT(VLOOKUP($A36,'Teilnehmende - Starters'!$C:$Z,D$11,0),1)=" ",LEFT(VLOOKUP($A36,'Teilnehmende - Starters'!$C:$Z,D$11,0),LEN(VLOOKUP($A36,'Teilnehmende - Starters'!$C:$Z,D$11,0))-1),
VLOOKUP($A36,'Teilnehmende - Starters'!$C:$Z,D$11,0))))</f>
        <v/>
      </c>
      <c r="E36" s="1" t="str">
        <f>IF($A36="","",IF(VLOOKUP($A36,'Teilnehmende - Starters'!$C:$Z,E$11,0)="","",
IF(RIGHT(VLOOKUP($A36,'Teilnehmende - Starters'!$C:$Z,E$11,0),1)=" ",LEFT(VLOOKUP($A36,'Teilnehmende - Starters'!$C:$Z,E$11,0),LEN(VLOOKUP($A36,'Teilnehmende - Starters'!$C:$Z,E$11,0))-1),
VLOOKUP($A36,'Teilnehmende - Starters'!$C:$Z,E$11,0))))</f>
        <v/>
      </c>
      <c r="F36" s="72" t="str">
        <f>IF($A36="","",IF(VLOOKUP($A36,'Teilnehmende - Starters'!$C:$Z,F$11,0)="","",VLOOKUP($A36,'Teilnehmende - Starters'!$C:$Z,F$11,0)))</f>
        <v/>
      </c>
      <c r="G36" s="1" t="str">
        <f>IF($A36="","",IF(VLOOKUP($A36,'Teilnehmende - Starters'!$C:$Z,G$11,0)="","",VLOOKUP($A36,'Teilnehmende - Starters'!$C:$Z,G$11,0)))</f>
        <v/>
      </c>
      <c r="H36" s="1" t="str">
        <f>IF($A36="","",IF(VLOOKUP($A36,'Teilnehmende - Starters'!$C:$Z,H$11,0)="","",VLOOKUP($A36,'Teilnehmende - Starters'!$C:$Z,H$11,0)))</f>
        <v/>
      </c>
      <c r="I36" s="1" t="str">
        <f>IF($A36="","",IF(VLOOKUP($A36,'Teilnehmende - Starters'!$C:$Z,I$11,0)="","",VLOOKUP($A36,'Teilnehmende - Starters'!$C:$Z,I$11,0)))</f>
        <v/>
      </c>
      <c r="J36" s="1" t="str">
        <f>IF($A36="","",IF(VLOOKUP($A36,'Teilnehmende - Starters'!$C:$Z,J$11,0)="","",VLOOKUP($A36,'Teilnehmende - Starters'!$C:$Z,J$11,0)))</f>
        <v/>
      </c>
      <c r="K36" s="1" t="str">
        <f>IF($A36="","",IF(VLOOKUP($A36,'Teilnehmende - Starters'!$C:$Z,K$11,0)="","",VLOOKUP($A36,'Teilnehmende - Starters'!$C:$Z,K$11,0)))</f>
        <v/>
      </c>
      <c r="L36" s="1" t="str">
        <f>IF($A36="","",IF(VLOOKUP($A36,'Teilnehmende - Starters'!$C:$Z,L$11,0)="","",VLOOKUP($A36,'Teilnehmende - Starters'!$C:$Z,L$11,0)))</f>
        <v/>
      </c>
      <c r="M36" s="1" t="str">
        <f>IF($A36="","",IF(VLOOKUP($A36,'Teilnehmende - Starters'!$C:$Z,M$11,0)="","",VLOOKUP($A36,'Teilnehmende - Starters'!$C:$Z,M$11,0)))</f>
        <v/>
      </c>
      <c r="N36" s="17"/>
      <c r="O36" s="1" t="str">
        <f>IF(ISERROR(SMALL('Teilnehmende - Starters'!$D$81:$D$156,ROW(A22))),"",SMALL('Teilnehmende - Starters'!$D$81:$D$156,ROW(A22)))</f>
        <v/>
      </c>
      <c r="P36" s="1" t="str">
        <f>IF($O36="","",IF(VLOOKUP($O36,'Teilnehmende - Starters'!$D:$Z,P$11,0)="","",
IF(RIGHT(VLOOKUP($O36,'Teilnehmende - Starters'!$D:$Z,P$11,0),1)=" ",LEFT(VLOOKUP($O36,'Teilnehmende - Starters'!$D:$Z,P$11,0),LEN(VLOOKUP($O36,'Teilnehmende - Starters'!$D:$Z,P$11,0))-1),
VLOOKUP($O36,'Teilnehmende - Starters'!$D:$Z,P$11,0))))</f>
        <v/>
      </c>
      <c r="Q36" s="1" t="str">
        <f>IF($O36="","",IF(VLOOKUP($O36,'Teilnehmende - Starters'!$D:$Z,Q$11,0)="","",
IF(RIGHT(VLOOKUP($O36,'Teilnehmende - Starters'!$D:$Z,Q$11,0),1)=" ",LEFT(VLOOKUP($O36,'Teilnehmende - Starters'!$D:$Z,Q$11,0),LEN(VLOOKUP($O36,'Teilnehmende - Starters'!$D:$Z,Q$11,0))-1),
VLOOKUP($O36,'Teilnehmende - Starters'!$D:$Z,Q$11,0))))</f>
        <v/>
      </c>
      <c r="R36" s="1" t="str">
        <f t="shared" si="19"/>
        <v/>
      </c>
      <c r="S36" s="1" t="str">
        <f>IF($O36="","",IF(VLOOKUP($O36,'Teilnehmende - Starters'!$D:$Z,S$11,0)="","",VLOOKUP($O36,'Teilnehmende - Starters'!$D:$Z,S$11,0)))</f>
        <v/>
      </c>
      <c r="T36" s="1" t="str">
        <f>IF($O36="","",IF(VLOOKUP($O36,'Teilnehmende - Starters'!$D:$Z,T$11,0)="","",VLOOKUP($O36,'Teilnehmende - Starters'!$D:$Z,T$11,0)))</f>
        <v/>
      </c>
      <c r="U36" s="1" t="str">
        <f>IF($O36="","",IF(VLOOKUP(O36,'Teilnehmende - Starters'!$C:$I,7,0)="w",IF(OR(S36=20,S36=19),"DE","ME"),IF(OR(S36=20,S36=19),"HE","JE")))</f>
        <v/>
      </c>
      <c r="V36" s="1" t="str">
        <f t="shared" si="20"/>
        <v/>
      </c>
      <c r="W36" s="17"/>
      <c r="X36" s="1" t="str">
        <f>IF(ISERROR(SMALL('Teilnehmende - Starters'!$E$81:$E$156,ROW(A22))),"",SMALL('Teilnehmende - Starters'!$E$81:$E$156,ROW(A22)))</f>
        <v/>
      </c>
      <c r="Y36" s="1" t="str">
        <f>IF(X36="","",VLOOKUP(X36,'Teilnehmende - Starters'!$C:$Z,5,0)&amp;" "&amp;VLOOKUP(X36,'Teilnehmende - Starters'!$C:$Z,6,0))</f>
        <v/>
      </c>
      <c r="Z36" s="1" t="str">
        <f t="shared" si="21"/>
        <v/>
      </c>
      <c r="AA36" s="1" t="str">
        <f>IF(X36="","",IF(VLOOKUP(X36,'Teilnehmende - Starters'!$C:$Z,18,0)="Freimeldung",$A$2*100+99,VLOOKUP(Y36,'Teilnehmende - Starters'!$AA$5:$AD$80,4,FALSE)))</f>
        <v/>
      </c>
      <c r="AB36" s="1" t="str">
        <f>IF(AA36="","",IF(VLOOKUP(X36,'Teilnehmende - Starters'!$C:$Z,18,0)="Freimeldung","Freimeldung",VLOOKUP(AA36,$A$15:$E$77,4,0)&amp;" "&amp;VLOOKUP(AA36,$A$15:$E$77,5,0)))</f>
        <v/>
      </c>
      <c r="AC36" s="1" t="str">
        <f>IF(AA36="","",IF(VLOOKUP(X36,'Teilnehmende - Starters'!$C:$Z,18,0)="Freimeldung","",VLOOKUP(AA36,$A$15:$C$77,3,0)))</f>
        <v/>
      </c>
      <c r="AD36" s="1" t="str">
        <f>IF($X36="","",IF(VLOOKUP($X36,'Teilnehmende - Starters'!$C:$Z,AD$11,0)="","",VLOOKUP($X36,'Teilnehmende - Starters'!$C:$Z,AD$11,0)))</f>
        <v/>
      </c>
      <c r="AE36" s="1" t="str">
        <f>IF($X36="","",IF(VLOOKUP($X36,'Teilnehmende - Starters'!$C:$Z,AE$11,0)="","",VLOOKUP($X36,'Teilnehmende - Starters'!$C:$Z,AE$11,0)))</f>
        <v/>
      </c>
      <c r="AF36" s="1" t="str">
        <f>IF($X36="","",IF(VLOOKUP(X36,'Teilnehmende - Starters'!$C:$I,7,0)="w",IF(OR(AD36=20,AD36=19),"DD","MD"),IF(OR(AD36=20,AD36=19),"HD","JD")))</f>
        <v/>
      </c>
      <c r="AG36" s="1" t="str">
        <f t="shared" si="22"/>
        <v/>
      </c>
      <c r="AH36" s="17"/>
      <c r="AI36" s="1" t="str">
        <f>IF(ISERROR(SMALL('Teilnehmende - Starters'!$F$81:$F$156,ROW(#REF!))),"",SMALL('Teilnehmende - Starters'!$F$81:$F$156,ROW(#REF!)))</f>
        <v/>
      </c>
      <c r="AJ36" s="1" t="str">
        <f>IF(AI36="","",VLOOKUP(AI36,'Teilnehmende - Starters'!$C:$Z,5,0)&amp;" "&amp;VLOOKUP(AI36,'Teilnehmende - Starters'!$C:$Z,6,0))</f>
        <v/>
      </c>
      <c r="AK36" s="1" t="str">
        <f t="shared" si="23"/>
        <v/>
      </c>
      <c r="AL36" s="1" t="str">
        <f>IF(AI36="","",IF(VLOOKUP(AI36,'Teilnehmende - Starters'!$C:$AN,21,0)="Freimeldung",$A$2*100+99,VLOOKUP(AJ36,'Teilnehmende - Starters'!$AB$5:$AD$80,3,FALSE)))</f>
        <v/>
      </c>
      <c r="AM36" s="1" t="str">
        <f>IF(AL36="","",IF(VLOOKUP(AI36,'Teilnehmende - Starters'!$C:$Z,21,0)="Freimeldung","Freimeldung",VLOOKUP(AL36,$A$15:$E$77,4,0)&amp;" "&amp;VLOOKUP(AL36,$A$15:$E$77,5,0)))</f>
        <v/>
      </c>
      <c r="AN36" s="1" t="str">
        <f>IF(AL36="","",IF(VLOOKUP(AI36,'Teilnehmende - Starters'!$C:$Z,21,0)="Freimeldung","",VLOOKUP(AL36,$A$15:$C$77,3,0)))</f>
        <v/>
      </c>
      <c r="AO36" s="1" t="str">
        <f>IF($AI36="","",IF(VLOOKUP($AI36,'Teilnehmende - Starters'!$C:$Z,AO$11,0)="","",VLOOKUP($AI36,'Teilnehmende - Starters'!$C:$Z,AO$11,0)))</f>
        <v/>
      </c>
      <c r="AP36" s="1" t="str">
        <f>IF($AI36="","",IF(VLOOKUP($AI36,'Teilnehmende - Starters'!$C:$Z,AP$11,0)="","",VLOOKUP($AI36,'Teilnehmende - Starters'!$C:$Z,AP$11,0)))</f>
        <v/>
      </c>
      <c r="AQ36" s="1" t="str">
        <f t="shared" si="17"/>
        <v/>
      </c>
      <c r="AR36" s="1" t="str">
        <f t="shared" si="24"/>
        <v/>
      </c>
    </row>
    <row r="37" spans="1:44" x14ac:dyDescent="0.3">
      <c r="A37" s="1" t="str">
        <f>IF(ISERROR(SMALL('Teilnehmende - Starters'!$C$81:$C$156,ROW(A23))),"",SMALL('Teilnehmende - Starters'!$C$81:$C$156,ROW(A23)))</f>
        <v/>
      </c>
      <c r="B37" s="1" t="str">
        <f>IF($A37="","",IF(VLOOKUP($A37,'Teilnehmende - Starters'!$C:$Z,B$11,0)="","",SUBSTITUTE(VLOOKUP($A37,'Teilnehmende - Starters'!$C:$Z,B$11,0)," ","")))</f>
        <v/>
      </c>
      <c r="C37" s="1" t="str">
        <f>IF(A37="","",VLOOKUP(INT(A37/100),'Vereine - Clubs'!$C:$H,4,0))</f>
        <v/>
      </c>
      <c r="D37" s="1" t="str">
        <f>IF($A37="","",IF(VLOOKUP($A37,'Teilnehmende - Starters'!$C:$Z,D$11,0)="","",
IF(RIGHT(VLOOKUP($A37,'Teilnehmende - Starters'!$C:$Z,D$11,0),1)=" ",LEFT(VLOOKUP($A37,'Teilnehmende - Starters'!$C:$Z,D$11,0),LEN(VLOOKUP($A37,'Teilnehmende - Starters'!$C:$Z,D$11,0))-1),
VLOOKUP($A37,'Teilnehmende - Starters'!$C:$Z,D$11,0))))</f>
        <v/>
      </c>
      <c r="E37" s="1" t="str">
        <f>IF($A37="","",IF(VLOOKUP($A37,'Teilnehmende - Starters'!$C:$Z,E$11,0)="","",
IF(RIGHT(VLOOKUP($A37,'Teilnehmende - Starters'!$C:$Z,E$11,0),1)=" ",LEFT(VLOOKUP($A37,'Teilnehmende - Starters'!$C:$Z,E$11,0),LEN(VLOOKUP($A37,'Teilnehmende - Starters'!$C:$Z,E$11,0))-1),
VLOOKUP($A37,'Teilnehmende - Starters'!$C:$Z,E$11,0))))</f>
        <v/>
      </c>
      <c r="F37" s="72" t="str">
        <f>IF($A37="","",IF(VLOOKUP($A37,'Teilnehmende - Starters'!$C:$Z,F$11,0)="","",VLOOKUP($A37,'Teilnehmende - Starters'!$C:$Z,F$11,0)))</f>
        <v/>
      </c>
      <c r="G37" s="1" t="str">
        <f>IF($A37="","",IF(VLOOKUP($A37,'Teilnehmende - Starters'!$C:$Z,G$11,0)="","",VLOOKUP($A37,'Teilnehmende - Starters'!$C:$Z,G$11,0)))</f>
        <v/>
      </c>
      <c r="H37" s="1" t="str">
        <f>IF($A37="","",IF(VLOOKUP($A37,'Teilnehmende - Starters'!$C:$Z,H$11,0)="","",VLOOKUP($A37,'Teilnehmende - Starters'!$C:$Z,H$11,0)))</f>
        <v/>
      </c>
      <c r="I37" s="1" t="str">
        <f>IF($A37="","",IF(VLOOKUP($A37,'Teilnehmende - Starters'!$C:$Z,I$11,0)="","",VLOOKUP($A37,'Teilnehmende - Starters'!$C:$Z,I$11,0)))</f>
        <v/>
      </c>
      <c r="J37" s="1" t="str">
        <f>IF($A37="","",IF(VLOOKUP($A37,'Teilnehmende - Starters'!$C:$Z,J$11,0)="","",VLOOKUP($A37,'Teilnehmende - Starters'!$C:$Z,J$11,0)))</f>
        <v/>
      </c>
      <c r="K37" s="1" t="str">
        <f>IF($A37="","",IF(VLOOKUP($A37,'Teilnehmende - Starters'!$C:$Z,K$11,0)="","",VLOOKUP($A37,'Teilnehmende - Starters'!$C:$Z,K$11,0)))</f>
        <v/>
      </c>
      <c r="L37" s="1" t="str">
        <f>IF($A37="","",IF(VLOOKUP($A37,'Teilnehmende - Starters'!$C:$Z,L$11,0)="","",VLOOKUP($A37,'Teilnehmende - Starters'!$C:$Z,L$11,0)))</f>
        <v/>
      </c>
      <c r="M37" s="1" t="str">
        <f>IF($A37="","",IF(VLOOKUP($A37,'Teilnehmende - Starters'!$C:$Z,M$11,0)="","",VLOOKUP($A37,'Teilnehmende - Starters'!$C:$Z,M$11,0)))</f>
        <v/>
      </c>
      <c r="N37" s="17"/>
      <c r="O37" s="1" t="str">
        <f>IF(ISERROR(SMALL('Teilnehmende - Starters'!$D$81:$D$156,ROW(A23))),"",SMALL('Teilnehmende - Starters'!$D$81:$D$156,ROW(A23)))</f>
        <v/>
      </c>
      <c r="P37" s="1" t="str">
        <f>IF($O37="","",IF(VLOOKUP($O37,'Teilnehmende - Starters'!$D:$Z,P$11,0)="","",
IF(RIGHT(VLOOKUP($O37,'Teilnehmende - Starters'!$D:$Z,P$11,0),1)=" ",LEFT(VLOOKUP($O37,'Teilnehmende - Starters'!$D:$Z,P$11,0),LEN(VLOOKUP($O37,'Teilnehmende - Starters'!$D:$Z,P$11,0))-1),
VLOOKUP($O37,'Teilnehmende - Starters'!$D:$Z,P$11,0))))</f>
        <v/>
      </c>
      <c r="Q37" s="1" t="str">
        <f>IF($O37="","",IF(VLOOKUP($O37,'Teilnehmende - Starters'!$D:$Z,Q$11,0)="","",
IF(RIGHT(VLOOKUP($O37,'Teilnehmende - Starters'!$D:$Z,Q$11,0),1)=" ",LEFT(VLOOKUP($O37,'Teilnehmende - Starters'!$D:$Z,Q$11,0),LEN(VLOOKUP($O37,'Teilnehmende - Starters'!$D:$Z,Q$11,0))-1),
VLOOKUP($O37,'Teilnehmende - Starters'!$D:$Z,Q$11,0))))</f>
        <v/>
      </c>
      <c r="R37" s="1" t="str">
        <f t="shared" si="19"/>
        <v/>
      </c>
      <c r="S37" s="1" t="str">
        <f>IF($O37="","",IF(VLOOKUP($O37,'Teilnehmende - Starters'!$D:$Z,S$11,0)="","",VLOOKUP($O37,'Teilnehmende - Starters'!$D:$Z,S$11,0)))</f>
        <v/>
      </c>
      <c r="T37" s="1" t="str">
        <f>IF($O37="","",IF(VLOOKUP($O37,'Teilnehmende - Starters'!$D:$Z,T$11,0)="","",VLOOKUP($O37,'Teilnehmende - Starters'!$D:$Z,T$11,0)))</f>
        <v/>
      </c>
      <c r="U37" s="1" t="str">
        <f>IF($O37="","",IF(VLOOKUP(O37,'Teilnehmende - Starters'!$C:$I,7,0)="w",IF(OR(S37=20,S37=19),"DE","ME"),IF(OR(S37=20,S37=19),"HE","JE")))</f>
        <v/>
      </c>
      <c r="V37" s="1" t="str">
        <f t="shared" si="20"/>
        <v/>
      </c>
      <c r="W37" s="17"/>
      <c r="X37" s="1" t="str">
        <f>IF(ISERROR(SMALL('Teilnehmende - Starters'!$E$81:$E$156,ROW(A23))),"",SMALL('Teilnehmende - Starters'!$E$81:$E$156,ROW(A23)))</f>
        <v/>
      </c>
      <c r="Y37" s="1" t="str">
        <f>IF(X37="","",VLOOKUP(X37,'Teilnehmende - Starters'!$C:$Z,5,0)&amp;" "&amp;VLOOKUP(X37,'Teilnehmende - Starters'!$C:$Z,6,0))</f>
        <v/>
      </c>
      <c r="Z37" s="1" t="str">
        <f t="shared" si="21"/>
        <v/>
      </c>
      <c r="AA37" s="1" t="str">
        <f>IF(X37="","",IF(VLOOKUP(X37,'Teilnehmende - Starters'!$C:$Z,18,0)="Freimeldung",$A$2*100+99,VLOOKUP(Y37,'Teilnehmende - Starters'!$AA$5:$AD$80,4,FALSE)))</f>
        <v/>
      </c>
      <c r="AB37" s="1" t="str">
        <f>IF(AA37="","",IF(VLOOKUP(X37,'Teilnehmende - Starters'!$C:$Z,18,0)="Freimeldung","Freimeldung",VLOOKUP(AA37,$A$15:$E$77,4,0)&amp;" "&amp;VLOOKUP(AA37,$A$15:$E$77,5,0)))</f>
        <v/>
      </c>
      <c r="AC37" s="1" t="str">
        <f>IF(AA37="","",IF(VLOOKUP(X37,'Teilnehmende - Starters'!$C:$Z,18,0)="Freimeldung","",VLOOKUP(AA37,$A$15:$C$77,3,0)))</f>
        <v/>
      </c>
      <c r="AD37" s="1" t="str">
        <f>IF($X37="","",IF(VLOOKUP($X37,'Teilnehmende - Starters'!$C:$Z,AD$11,0)="","",VLOOKUP($X37,'Teilnehmende - Starters'!$C:$Z,AD$11,0)))</f>
        <v/>
      </c>
      <c r="AE37" s="1" t="str">
        <f>IF($X37="","",IF(VLOOKUP($X37,'Teilnehmende - Starters'!$C:$Z,AE$11,0)="","",VLOOKUP($X37,'Teilnehmende - Starters'!$C:$Z,AE$11,0)))</f>
        <v/>
      </c>
      <c r="AF37" s="1" t="str">
        <f>IF($X37="","",IF(VLOOKUP(X37,'Teilnehmende - Starters'!$C:$I,7,0)="w",IF(OR(AD37=20,AD37=19),"DD","MD"),IF(OR(AD37=20,AD37=19),"HD","JD")))</f>
        <v/>
      </c>
      <c r="AG37" s="1" t="str">
        <f t="shared" si="22"/>
        <v/>
      </c>
      <c r="AH37" s="17"/>
      <c r="AI37" s="1" t="str">
        <f>IF(ISERROR(SMALL('Teilnehmende - Starters'!$F$81:$F$156,ROW(#REF!))),"",SMALL('Teilnehmende - Starters'!$F$81:$F$156,ROW(#REF!)))</f>
        <v/>
      </c>
      <c r="AJ37" s="1" t="str">
        <f>IF(AI37="","",VLOOKUP(AI37,'Teilnehmende - Starters'!$C:$Z,5,0)&amp;" "&amp;VLOOKUP(AI37,'Teilnehmende - Starters'!$C:$Z,6,0))</f>
        <v/>
      </c>
      <c r="AK37" s="1" t="str">
        <f t="shared" si="23"/>
        <v/>
      </c>
      <c r="AL37" s="1" t="str">
        <f>IF(AI37="","",IF(VLOOKUP(AI37,'Teilnehmende - Starters'!$C:$AN,21,0)="Freimeldung",$A$2*100+99,VLOOKUP(AJ37,'Teilnehmende - Starters'!$AB$5:$AD$80,3,FALSE)))</f>
        <v/>
      </c>
      <c r="AM37" s="1" t="str">
        <f>IF(AL37="","",IF(VLOOKUP(AI37,'Teilnehmende - Starters'!$C:$Z,21,0)="Freimeldung","Freimeldung",VLOOKUP(AL37,$A$15:$E$77,4,0)&amp;" "&amp;VLOOKUP(AL37,$A$15:$E$77,5,0)))</f>
        <v/>
      </c>
      <c r="AN37" s="1" t="str">
        <f>IF(AL37="","",IF(VLOOKUP(AI37,'Teilnehmende - Starters'!$C:$Z,21,0)="Freimeldung","",VLOOKUP(AL37,$A$15:$C$77,3,0)))</f>
        <v/>
      </c>
      <c r="AO37" s="1" t="str">
        <f>IF($AI37="","",IF(VLOOKUP($AI37,'Teilnehmende - Starters'!$C:$Z,AO$11,0)="","",VLOOKUP($AI37,'Teilnehmende - Starters'!$C:$Z,AO$11,0)))</f>
        <v/>
      </c>
      <c r="AP37" s="1" t="str">
        <f>IF($AI37="","",IF(VLOOKUP($AI37,'Teilnehmende - Starters'!$C:$Z,AP$11,0)="","",VLOOKUP($AI37,'Teilnehmende - Starters'!$C:$Z,AP$11,0)))</f>
        <v/>
      </c>
      <c r="AQ37" s="1" t="str">
        <f t="shared" si="17"/>
        <v/>
      </c>
      <c r="AR37" s="1" t="str">
        <f t="shared" si="24"/>
        <v/>
      </c>
    </row>
    <row r="38" spans="1:44" x14ac:dyDescent="0.3">
      <c r="A38" s="1" t="str">
        <f>IF(ISERROR(SMALL('Teilnehmende - Starters'!$C$81:$C$156,ROW(A24))),"",SMALL('Teilnehmende - Starters'!$C$81:$C$156,ROW(A24)))</f>
        <v/>
      </c>
      <c r="B38" s="1" t="str">
        <f>IF($A38="","",IF(VLOOKUP($A38,'Teilnehmende - Starters'!$C:$Z,B$11,0)="","",SUBSTITUTE(VLOOKUP($A38,'Teilnehmende - Starters'!$C:$Z,B$11,0)," ","")))</f>
        <v/>
      </c>
      <c r="C38" s="1" t="str">
        <f>IF(A38="","",VLOOKUP(INT(A38/100),'Vereine - Clubs'!$C:$H,4,0))</f>
        <v/>
      </c>
      <c r="D38" s="1" t="str">
        <f>IF($A38="","",IF(VLOOKUP($A38,'Teilnehmende - Starters'!$C:$Z,D$11,0)="","",
IF(RIGHT(VLOOKUP($A38,'Teilnehmende - Starters'!$C:$Z,D$11,0),1)=" ",LEFT(VLOOKUP($A38,'Teilnehmende - Starters'!$C:$Z,D$11,0),LEN(VLOOKUP($A38,'Teilnehmende - Starters'!$C:$Z,D$11,0))-1),
VLOOKUP($A38,'Teilnehmende - Starters'!$C:$Z,D$11,0))))</f>
        <v/>
      </c>
      <c r="E38" s="1" t="str">
        <f>IF($A38="","",IF(VLOOKUP($A38,'Teilnehmende - Starters'!$C:$Z,E$11,0)="","",
IF(RIGHT(VLOOKUP($A38,'Teilnehmende - Starters'!$C:$Z,E$11,0),1)=" ",LEFT(VLOOKUP($A38,'Teilnehmende - Starters'!$C:$Z,E$11,0),LEN(VLOOKUP($A38,'Teilnehmende - Starters'!$C:$Z,E$11,0))-1),
VLOOKUP($A38,'Teilnehmende - Starters'!$C:$Z,E$11,0))))</f>
        <v/>
      </c>
      <c r="F38" s="72" t="str">
        <f>IF($A38="","",IF(VLOOKUP($A38,'Teilnehmende - Starters'!$C:$Z,F$11,0)="","",VLOOKUP($A38,'Teilnehmende - Starters'!$C:$Z,F$11,0)))</f>
        <v/>
      </c>
      <c r="G38" s="1" t="str">
        <f>IF($A38="","",IF(VLOOKUP($A38,'Teilnehmende - Starters'!$C:$Z,G$11,0)="","",VLOOKUP($A38,'Teilnehmende - Starters'!$C:$Z,G$11,0)))</f>
        <v/>
      </c>
      <c r="H38" s="1" t="str">
        <f>IF($A38="","",IF(VLOOKUP($A38,'Teilnehmende - Starters'!$C:$Z,H$11,0)="","",VLOOKUP($A38,'Teilnehmende - Starters'!$C:$Z,H$11,0)))</f>
        <v/>
      </c>
      <c r="I38" s="1" t="str">
        <f>IF($A38="","",IF(VLOOKUP($A38,'Teilnehmende - Starters'!$C:$Z,I$11,0)="","",VLOOKUP($A38,'Teilnehmende - Starters'!$C:$Z,I$11,0)))</f>
        <v/>
      </c>
      <c r="J38" s="1" t="str">
        <f>IF($A38="","",IF(VLOOKUP($A38,'Teilnehmende - Starters'!$C:$Z,J$11,0)="","",VLOOKUP($A38,'Teilnehmende - Starters'!$C:$Z,J$11,0)))</f>
        <v/>
      </c>
      <c r="K38" s="1" t="str">
        <f>IF($A38="","",IF(VLOOKUP($A38,'Teilnehmende - Starters'!$C:$Z,K$11,0)="","",VLOOKUP($A38,'Teilnehmende - Starters'!$C:$Z,K$11,0)))</f>
        <v/>
      </c>
      <c r="L38" s="1" t="str">
        <f>IF($A38="","",IF(VLOOKUP($A38,'Teilnehmende - Starters'!$C:$Z,L$11,0)="","",VLOOKUP($A38,'Teilnehmende - Starters'!$C:$Z,L$11,0)))</f>
        <v/>
      </c>
      <c r="M38" s="1" t="str">
        <f>IF($A38="","",IF(VLOOKUP($A38,'Teilnehmende - Starters'!$C:$Z,M$11,0)="","",VLOOKUP($A38,'Teilnehmende - Starters'!$C:$Z,M$11,0)))</f>
        <v/>
      </c>
      <c r="N38" s="17"/>
      <c r="O38" s="1" t="str">
        <f>IF(ISERROR(SMALL('Teilnehmende - Starters'!$D$81:$D$156,ROW(A24))),"",SMALL('Teilnehmende - Starters'!$D$81:$D$156,ROW(A24)))</f>
        <v/>
      </c>
      <c r="P38" s="1" t="str">
        <f>IF($O38="","",IF(VLOOKUP($O38,'Teilnehmende - Starters'!$D:$Z,P$11,0)="","",
IF(RIGHT(VLOOKUP($O38,'Teilnehmende - Starters'!$D:$Z,P$11,0),1)=" ",LEFT(VLOOKUP($O38,'Teilnehmende - Starters'!$D:$Z,P$11,0),LEN(VLOOKUP($O38,'Teilnehmende - Starters'!$D:$Z,P$11,0))-1),
VLOOKUP($O38,'Teilnehmende - Starters'!$D:$Z,P$11,0))))</f>
        <v/>
      </c>
      <c r="Q38" s="1" t="str">
        <f>IF($O38="","",IF(VLOOKUP($O38,'Teilnehmende - Starters'!$D:$Z,Q$11,0)="","",
IF(RIGHT(VLOOKUP($O38,'Teilnehmende - Starters'!$D:$Z,Q$11,0),1)=" ",LEFT(VLOOKUP($O38,'Teilnehmende - Starters'!$D:$Z,Q$11,0),LEN(VLOOKUP($O38,'Teilnehmende - Starters'!$D:$Z,Q$11,0))-1),
VLOOKUP($O38,'Teilnehmende - Starters'!$D:$Z,Q$11,0))))</f>
        <v/>
      </c>
      <c r="R38" s="1" t="str">
        <f t="shared" si="19"/>
        <v/>
      </c>
      <c r="S38" s="1" t="str">
        <f>IF($O38="","",IF(VLOOKUP($O38,'Teilnehmende - Starters'!$D:$Z,S$11,0)="","",VLOOKUP($O38,'Teilnehmende - Starters'!$D:$Z,S$11,0)))</f>
        <v/>
      </c>
      <c r="T38" s="1" t="str">
        <f>IF($O38="","",IF(VLOOKUP($O38,'Teilnehmende - Starters'!$D:$Z,T$11,0)="","",VLOOKUP($O38,'Teilnehmende - Starters'!$D:$Z,T$11,0)))</f>
        <v/>
      </c>
      <c r="U38" s="1" t="str">
        <f>IF($O38="","",IF(VLOOKUP(O38,'Teilnehmende - Starters'!$C:$I,7,0)="w",IF(OR(S38=20,S38=19),"DE","ME"),IF(OR(S38=20,S38=19),"HE","JE")))</f>
        <v/>
      </c>
      <c r="V38" s="1" t="str">
        <f t="shared" si="20"/>
        <v/>
      </c>
      <c r="W38" s="17"/>
      <c r="X38" s="1" t="str">
        <f>IF(ISERROR(SMALL('Teilnehmende - Starters'!$E$81:$E$156,ROW(A24))),"",SMALL('Teilnehmende - Starters'!$E$81:$E$156,ROW(A24)))</f>
        <v/>
      </c>
      <c r="Y38" s="1" t="str">
        <f>IF(X38="","",VLOOKUP(X38,'Teilnehmende - Starters'!$C:$Z,5,0)&amp;" "&amp;VLOOKUP(X38,'Teilnehmende - Starters'!$C:$Z,6,0))</f>
        <v/>
      </c>
      <c r="Z38" s="1" t="str">
        <f t="shared" si="21"/>
        <v/>
      </c>
      <c r="AA38" s="1" t="str">
        <f>IF(X38="","",IF(VLOOKUP(X38,'Teilnehmende - Starters'!$C:$Z,18,0)="Freimeldung",$A$2*100+99,VLOOKUP(Y38,'Teilnehmende - Starters'!$AA$5:$AD$80,4,FALSE)))</f>
        <v/>
      </c>
      <c r="AB38" s="1" t="str">
        <f>IF(AA38="","",IF(VLOOKUP(X38,'Teilnehmende - Starters'!$C:$Z,18,0)="Freimeldung","Freimeldung",VLOOKUP(AA38,$A$15:$E$77,4,0)&amp;" "&amp;VLOOKUP(AA38,$A$15:$E$77,5,0)))</f>
        <v/>
      </c>
      <c r="AC38" s="1" t="str">
        <f>IF(AA38="","",IF(VLOOKUP(X38,'Teilnehmende - Starters'!$C:$Z,18,0)="Freimeldung","",VLOOKUP(AA38,$A$15:$C$77,3,0)))</f>
        <v/>
      </c>
      <c r="AD38" s="1" t="str">
        <f>IF($X38="","",IF(VLOOKUP($X38,'Teilnehmende - Starters'!$C:$Z,AD$11,0)="","",VLOOKUP($X38,'Teilnehmende - Starters'!$C:$Z,AD$11,0)))</f>
        <v/>
      </c>
      <c r="AE38" s="1" t="str">
        <f>IF($X38="","",IF(VLOOKUP($X38,'Teilnehmende - Starters'!$C:$Z,AE$11,0)="","",VLOOKUP($X38,'Teilnehmende - Starters'!$C:$Z,AE$11,0)))</f>
        <v/>
      </c>
      <c r="AF38" s="1" t="str">
        <f>IF($X38="","",IF(VLOOKUP(X38,'Teilnehmende - Starters'!$C:$I,7,0)="w",IF(OR(AD38=20,AD38=19),"DD","MD"),IF(OR(AD38=20,AD38=19),"HD","JD")))</f>
        <v/>
      </c>
      <c r="AG38" s="1" t="str">
        <f t="shared" si="22"/>
        <v/>
      </c>
      <c r="AH38" s="17"/>
      <c r="AI38" s="1" t="str">
        <f>IF(ISERROR(SMALL('Teilnehmende - Starters'!$F$81:$F$156,ROW(#REF!))),"",SMALL('Teilnehmende - Starters'!$F$81:$F$156,ROW(#REF!)))</f>
        <v/>
      </c>
      <c r="AJ38" s="1" t="str">
        <f>IF(AI38="","",VLOOKUP(AI38,'Teilnehmende - Starters'!$C:$Z,5,0)&amp;" "&amp;VLOOKUP(AI38,'Teilnehmende - Starters'!$C:$Z,6,0))</f>
        <v/>
      </c>
      <c r="AK38" s="1" t="str">
        <f t="shared" si="23"/>
        <v/>
      </c>
      <c r="AL38" s="1" t="str">
        <f>IF(AI38="","",IF(VLOOKUP(AI38,'Teilnehmende - Starters'!$C:$AN,21,0)="Freimeldung",$A$2*100+99,VLOOKUP(AJ38,'Teilnehmende - Starters'!$AB$5:$AD$80,3,FALSE)))</f>
        <v/>
      </c>
      <c r="AM38" s="1" t="str">
        <f>IF(AL38="","",IF(VLOOKUP(AI38,'Teilnehmende - Starters'!$C:$Z,21,0)="Freimeldung","Freimeldung",VLOOKUP(AL38,$A$15:$E$77,4,0)&amp;" "&amp;VLOOKUP(AL38,$A$15:$E$77,5,0)))</f>
        <v/>
      </c>
      <c r="AN38" s="1" t="str">
        <f>IF(AL38="","",IF(VLOOKUP(AI38,'Teilnehmende - Starters'!$C:$Z,21,0)="Freimeldung","",VLOOKUP(AL38,$A$15:$C$77,3,0)))</f>
        <v/>
      </c>
      <c r="AO38" s="1" t="str">
        <f>IF($AI38="","",IF(VLOOKUP($AI38,'Teilnehmende - Starters'!$C:$Z,AO$11,0)="","",VLOOKUP($AI38,'Teilnehmende - Starters'!$C:$Z,AO$11,0)))</f>
        <v/>
      </c>
      <c r="AP38" s="1" t="str">
        <f>IF($AI38="","",IF(VLOOKUP($AI38,'Teilnehmende - Starters'!$C:$Z,AP$11,0)="","",VLOOKUP($AI38,'Teilnehmende - Starters'!$C:$Z,AP$11,0)))</f>
        <v/>
      </c>
      <c r="AQ38" s="1" t="str">
        <f t="shared" si="17"/>
        <v/>
      </c>
      <c r="AR38" s="1" t="str">
        <f t="shared" si="24"/>
        <v/>
      </c>
    </row>
    <row r="39" spans="1:44" x14ac:dyDescent="0.3">
      <c r="A39" s="1" t="str">
        <f>IF(ISERROR(SMALL('Teilnehmende - Starters'!$C$81:$C$156,ROW(A25))),"",SMALL('Teilnehmende - Starters'!$C$81:$C$156,ROW(A25)))</f>
        <v/>
      </c>
      <c r="B39" s="1" t="str">
        <f>IF($A39="","",IF(VLOOKUP($A39,'Teilnehmende - Starters'!$C:$Z,B$11,0)="","",SUBSTITUTE(VLOOKUP($A39,'Teilnehmende - Starters'!$C:$Z,B$11,0)," ","")))</f>
        <v/>
      </c>
      <c r="C39" s="1" t="str">
        <f>IF(A39="","",VLOOKUP(INT(A39/100),'Vereine - Clubs'!$C:$H,4,0))</f>
        <v/>
      </c>
      <c r="D39" s="1" t="str">
        <f>IF($A39="","",IF(VLOOKUP($A39,'Teilnehmende - Starters'!$C:$Z,D$11,0)="","",
IF(RIGHT(VLOOKUP($A39,'Teilnehmende - Starters'!$C:$Z,D$11,0),1)=" ",LEFT(VLOOKUP($A39,'Teilnehmende - Starters'!$C:$Z,D$11,0),LEN(VLOOKUP($A39,'Teilnehmende - Starters'!$C:$Z,D$11,0))-1),
VLOOKUP($A39,'Teilnehmende - Starters'!$C:$Z,D$11,0))))</f>
        <v/>
      </c>
      <c r="E39" s="1" t="str">
        <f>IF($A39="","",IF(VLOOKUP($A39,'Teilnehmende - Starters'!$C:$Z,E$11,0)="","",
IF(RIGHT(VLOOKUP($A39,'Teilnehmende - Starters'!$C:$Z,E$11,0),1)=" ",LEFT(VLOOKUP($A39,'Teilnehmende - Starters'!$C:$Z,E$11,0),LEN(VLOOKUP($A39,'Teilnehmende - Starters'!$C:$Z,E$11,0))-1),
VLOOKUP($A39,'Teilnehmende - Starters'!$C:$Z,E$11,0))))</f>
        <v/>
      </c>
      <c r="F39" s="72" t="str">
        <f>IF($A39="","",IF(VLOOKUP($A39,'Teilnehmende - Starters'!$C:$Z,F$11,0)="","",VLOOKUP($A39,'Teilnehmende - Starters'!$C:$Z,F$11,0)))</f>
        <v/>
      </c>
      <c r="G39" s="1" t="str">
        <f>IF($A39="","",IF(VLOOKUP($A39,'Teilnehmende - Starters'!$C:$Z,G$11,0)="","",VLOOKUP($A39,'Teilnehmende - Starters'!$C:$Z,G$11,0)))</f>
        <v/>
      </c>
      <c r="H39" s="1" t="str">
        <f>IF($A39="","",IF(VLOOKUP($A39,'Teilnehmende - Starters'!$C:$Z,H$11,0)="","",VLOOKUP($A39,'Teilnehmende - Starters'!$C:$Z,H$11,0)))</f>
        <v/>
      </c>
      <c r="I39" s="1" t="str">
        <f>IF($A39="","",IF(VLOOKUP($A39,'Teilnehmende - Starters'!$C:$Z,I$11,0)="","",VLOOKUP($A39,'Teilnehmende - Starters'!$C:$Z,I$11,0)))</f>
        <v/>
      </c>
      <c r="J39" s="1" t="str">
        <f>IF($A39="","",IF(VLOOKUP($A39,'Teilnehmende - Starters'!$C:$Z,J$11,0)="","",VLOOKUP($A39,'Teilnehmende - Starters'!$C:$Z,J$11,0)))</f>
        <v/>
      </c>
      <c r="K39" s="1" t="str">
        <f>IF($A39="","",IF(VLOOKUP($A39,'Teilnehmende - Starters'!$C:$Z,K$11,0)="","",VLOOKUP($A39,'Teilnehmende - Starters'!$C:$Z,K$11,0)))</f>
        <v/>
      </c>
      <c r="L39" s="1" t="str">
        <f>IF($A39="","",IF(VLOOKUP($A39,'Teilnehmende - Starters'!$C:$Z,L$11,0)="","",VLOOKUP($A39,'Teilnehmende - Starters'!$C:$Z,L$11,0)))</f>
        <v/>
      </c>
      <c r="M39" s="1" t="str">
        <f>IF($A39="","",IF(VLOOKUP($A39,'Teilnehmende - Starters'!$C:$Z,M$11,0)="","",VLOOKUP($A39,'Teilnehmende - Starters'!$C:$Z,M$11,0)))</f>
        <v/>
      </c>
      <c r="N39" s="17"/>
      <c r="O39" s="1" t="str">
        <f>IF(ISERROR(SMALL('Teilnehmende - Starters'!$D$81:$D$156,ROW(A25))),"",SMALL('Teilnehmende - Starters'!$D$81:$D$156,ROW(A25)))</f>
        <v/>
      </c>
      <c r="P39" s="1" t="str">
        <f>IF($O39="","",IF(VLOOKUP($O39,'Teilnehmende - Starters'!$D:$Z,P$11,0)="","",
IF(RIGHT(VLOOKUP($O39,'Teilnehmende - Starters'!$D:$Z,P$11,0),1)=" ",LEFT(VLOOKUP($O39,'Teilnehmende - Starters'!$D:$Z,P$11,0),LEN(VLOOKUP($O39,'Teilnehmende - Starters'!$D:$Z,P$11,0))-1),
VLOOKUP($O39,'Teilnehmende - Starters'!$D:$Z,P$11,0))))</f>
        <v/>
      </c>
      <c r="Q39" s="1" t="str">
        <f>IF($O39="","",IF(VLOOKUP($O39,'Teilnehmende - Starters'!$D:$Z,Q$11,0)="","",
IF(RIGHT(VLOOKUP($O39,'Teilnehmende - Starters'!$D:$Z,Q$11,0),1)=" ",LEFT(VLOOKUP($O39,'Teilnehmende - Starters'!$D:$Z,Q$11,0),LEN(VLOOKUP($O39,'Teilnehmende - Starters'!$D:$Z,Q$11,0))-1),
VLOOKUP($O39,'Teilnehmende - Starters'!$D:$Z,Q$11,0))))</f>
        <v/>
      </c>
      <c r="R39" s="1" t="str">
        <f t="shared" si="19"/>
        <v/>
      </c>
      <c r="S39" s="1" t="str">
        <f>IF($O39="","",IF(VLOOKUP($O39,'Teilnehmende - Starters'!$D:$Z,S$11,0)="","",VLOOKUP($O39,'Teilnehmende - Starters'!$D:$Z,S$11,0)))</f>
        <v/>
      </c>
      <c r="T39" s="1" t="str">
        <f>IF($O39="","",IF(VLOOKUP($O39,'Teilnehmende - Starters'!$D:$Z,T$11,0)="","",VLOOKUP($O39,'Teilnehmende - Starters'!$D:$Z,T$11,0)))</f>
        <v/>
      </c>
      <c r="U39" s="1" t="str">
        <f>IF($O39="","",IF(VLOOKUP(O39,'Teilnehmende - Starters'!$C:$I,7,0)="w",IF(OR(S39=20,S39=19),"DE","ME"),IF(OR(S39=20,S39=19),"HE","JE")))</f>
        <v/>
      </c>
      <c r="V39" s="1" t="str">
        <f t="shared" si="20"/>
        <v/>
      </c>
      <c r="W39" s="17"/>
      <c r="X39" s="1" t="str">
        <f>IF(ISERROR(SMALL('Teilnehmende - Starters'!$E$81:$E$156,ROW(A25))),"",SMALL('Teilnehmende - Starters'!$E$81:$E$156,ROW(A25)))</f>
        <v/>
      </c>
      <c r="Y39" s="1" t="str">
        <f>IF(X39="","",VLOOKUP(X39,'Teilnehmende - Starters'!$C:$Z,5,0)&amp;" "&amp;VLOOKUP(X39,'Teilnehmende - Starters'!$C:$Z,6,0))</f>
        <v/>
      </c>
      <c r="Z39" s="1" t="str">
        <f t="shared" si="21"/>
        <v/>
      </c>
      <c r="AA39" s="1" t="str">
        <f>IF(X39="","",IF(VLOOKUP(X39,'Teilnehmende - Starters'!$C:$Z,18,0)="Freimeldung",$A$2*100+99,VLOOKUP(Y39,'Teilnehmende - Starters'!$AA$5:$AD$80,4,FALSE)))</f>
        <v/>
      </c>
      <c r="AB39" s="1" t="str">
        <f>IF(AA39="","",IF(VLOOKUP(X39,'Teilnehmende - Starters'!$C:$Z,18,0)="Freimeldung","Freimeldung",VLOOKUP(AA39,$A$15:$E$77,4,0)&amp;" "&amp;VLOOKUP(AA39,$A$15:$E$77,5,0)))</f>
        <v/>
      </c>
      <c r="AC39" s="1" t="str">
        <f>IF(AA39="","",IF(VLOOKUP(X39,'Teilnehmende - Starters'!$C:$Z,18,0)="Freimeldung","",VLOOKUP(AA39,$A$15:$C$77,3,0)))</f>
        <v/>
      </c>
      <c r="AD39" s="1" t="str">
        <f>IF($X39="","",IF(VLOOKUP($X39,'Teilnehmende - Starters'!$C:$Z,AD$11,0)="","",VLOOKUP($X39,'Teilnehmende - Starters'!$C:$Z,AD$11,0)))</f>
        <v/>
      </c>
      <c r="AE39" s="1" t="str">
        <f>IF($X39="","",IF(VLOOKUP($X39,'Teilnehmende - Starters'!$C:$Z,AE$11,0)="","",VLOOKUP($X39,'Teilnehmende - Starters'!$C:$Z,AE$11,0)))</f>
        <v/>
      </c>
      <c r="AF39" s="1" t="str">
        <f>IF($X39="","",IF(VLOOKUP(X39,'Teilnehmende - Starters'!$C:$I,7,0)="w",IF(OR(AD39=20,AD39=19),"DD","MD"),IF(OR(AD39=20,AD39=19),"HD","JD")))</f>
        <v/>
      </c>
      <c r="AG39" s="1" t="str">
        <f t="shared" si="22"/>
        <v/>
      </c>
      <c r="AH39" s="17"/>
      <c r="AI39" s="1" t="str">
        <f>IF(ISERROR(SMALL('Teilnehmende - Starters'!$F$81:$F$156,ROW(#REF!))),"",SMALL('Teilnehmende - Starters'!$F$81:$F$156,ROW(#REF!)))</f>
        <v/>
      </c>
      <c r="AJ39" s="1" t="str">
        <f>IF(AI39="","",VLOOKUP(AI39,'Teilnehmende - Starters'!$C:$Z,5,0)&amp;" "&amp;VLOOKUP(AI39,'Teilnehmende - Starters'!$C:$Z,6,0))</f>
        <v/>
      </c>
      <c r="AK39" s="1" t="str">
        <f t="shared" si="23"/>
        <v/>
      </c>
      <c r="AL39" s="1" t="str">
        <f>IF(AI39="","",IF(VLOOKUP(AI39,'Teilnehmende - Starters'!$C:$AN,21,0)="Freimeldung",$A$2*100+99,VLOOKUP(AJ39,'Teilnehmende - Starters'!$AB$5:$AD$80,3,FALSE)))</f>
        <v/>
      </c>
      <c r="AM39" s="1" t="str">
        <f>IF(AL39="","",IF(VLOOKUP(AI39,'Teilnehmende - Starters'!$C:$Z,21,0)="Freimeldung","Freimeldung",VLOOKUP(AL39,$A$15:$E$77,4,0)&amp;" "&amp;VLOOKUP(AL39,$A$15:$E$77,5,0)))</f>
        <v/>
      </c>
      <c r="AN39" s="1" t="str">
        <f>IF(AL39="","",IF(VLOOKUP(AI39,'Teilnehmende - Starters'!$C:$Z,21,0)="Freimeldung","",VLOOKUP(AL39,$A$15:$C$77,3,0)))</f>
        <v/>
      </c>
      <c r="AO39" s="1" t="str">
        <f>IF($AI39="","",IF(VLOOKUP($AI39,'Teilnehmende - Starters'!$C:$Z,AO$11,0)="","",VLOOKUP($AI39,'Teilnehmende - Starters'!$C:$Z,AO$11,0)))</f>
        <v/>
      </c>
      <c r="AP39" s="1" t="str">
        <f>IF($AI39="","",IF(VLOOKUP($AI39,'Teilnehmende - Starters'!$C:$Z,AP$11,0)="","",VLOOKUP($AI39,'Teilnehmende - Starters'!$C:$Z,AP$11,0)))</f>
        <v/>
      </c>
      <c r="AQ39" s="1" t="str">
        <f t="shared" si="17"/>
        <v/>
      </c>
      <c r="AR39" s="1" t="str">
        <f t="shared" si="24"/>
        <v/>
      </c>
    </row>
    <row r="40" spans="1:44" x14ac:dyDescent="0.3">
      <c r="A40" s="1" t="str">
        <f>IF(ISERROR(SMALL('Teilnehmende - Starters'!$C$81:$C$156,ROW(A26))),"",SMALL('Teilnehmende - Starters'!$C$81:$C$156,ROW(A26)))</f>
        <v/>
      </c>
      <c r="B40" s="1" t="str">
        <f>IF($A40="","",IF(VLOOKUP($A40,'Teilnehmende - Starters'!$C:$Z,B$11,0)="","",SUBSTITUTE(VLOOKUP($A40,'Teilnehmende - Starters'!$C:$Z,B$11,0)," ","")))</f>
        <v/>
      </c>
      <c r="C40" s="1" t="str">
        <f>IF(A40="","",VLOOKUP(INT(A40/100),'Vereine - Clubs'!$C:$H,4,0))</f>
        <v/>
      </c>
      <c r="D40" s="1" t="str">
        <f>IF($A40="","",IF(VLOOKUP($A40,'Teilnehmende - Starters'!$C:$Z,D$11,0)="","",
IF(RIGHT(VLOOKUP($A40,'Teilnehmende - Starters'!$C:$Z,D$11,0),1)=" ",LEFT(VLOOKUP($A40,'Teilnehmende - Starters'!$C:$Z,D$11,0),LEN(VLOOKUP($A40,'Teilnehmende - Starters'!$C:$Z,D$11,0))-1),
VLOOKUP($A40,'Teilnehmende - Starters'!$C:$Z,D$11,0))))</f>
        <v/>
      </c>
      <c r="E40" s="1" t="str">
        <f>IF($A40="","",IF(VLOOKUP($A40,'Teilnehmende - Starters'!$C:$Z,E$11,0)="","",
IF(RIGHT(VLOOKUP($A40,'Teilnehmende - Starters'!$C:$Z,E$11,0),1)=" ",LEFT(VLOOKUP($A40,'Teilnehmende - Starters'!$C:$Z,E$11,0),LEN(VLOOKUP($A40,'Teilnehmende - Starters'!$C:$Z,E$11,0))-1),
VLOOKUP($A40,'Teilnehmende - Starters'!$C:$Z,E$11,0))))</f>
        <v/>
      </c>
      <c r="F40" s="72" t="str">
        <f>IF($A40="","",IF(VLOOKUP($A40,'Teilnehmende - Starters'!$C:$Z,F$11,0)="","",VLOOKUP($A40,'Teilnehmende - Starters'!$C:$Z,F$11,0)))</f>
        <v/>
      </c>
      <c r="G40" s="1" t="str">
        <f>IF($A40="","",IF(VLOOKUP($A40,'Teilnehmende - Starters'!$C:$Z,G$11,0)="","",VLOOKUP($A40,'Teilnehmende - Starters'!$C:$Z,G$11,0)))</f>
        <v/>
      </c>
      <c r="H40" s="1" t="str">
        <f>IF($A40="","",IF(VLOOKUP($A40,'Teilnehmende - Starters'!$C:$Z,H$11,0)="","",VLOOKUP($A40,'Teilnehmende - Starters'!$C:$Z,H$11,0)))</f>
        <v/>
      </c>
      <c r="I40" s="1" t="str">
        <f>IF($A40="","",IF(VLOOKUP($A40,'Teilnehmende - Starters'!$C:$Z,I$11,0)="","",VLOOKUP($A40,'Teilnehmende - Starters'!$C:$Z,I$11,0)))</f>
        <v/>
      </c>
      <c r="J40" s="1" t="str">
        <f>IF($A40="","",IF(VLOOKUP($A40,'Teilnehmende - Starters'!$C:$Z,J$11,0)="","",VLOOKUP($A40,'Teilnehmende - Starters'!$C:$Z,J$11,0)))</f>
        <v/>
      </c>
      <c r="K40" s="1" t="str">
        <f>IF($A40="","",IF(VLOOKUP($A40,'Teilnehmende - Starters'!$C:$Z,K$11,0)="","",VLOOKUP($A40,'Teilnehmende - Starters'!$C:$Z,K$11,0)))</f>
        <v/>
      </c>
      <c r="L40" s="1" t="str">
        <f>IF($A40="","",IF(VLOOKUP($A40,'Teilnehmende - Starters'!$C:$Z,L$11,0)="","",VLOOKUP($A40,'Teilnehmende - Starters'!$C:$Z,L$11,0)))</f>
        <v/>
      </c>
      <c r="M40" s="1" t="str">
        <f>IF($A40="","",IF(VLOOKUP($A40,'Teilnehmende - Starters'!$C:$Z,M$11,0)="","",VLOOKUP($A40,'Teilnehmende - Starters'!$C:$Z,M$11,0)))</f>
        <v/>
      </c>
      <c r="N40" s="17"/>
      <c r="O40" s="1" t="str">
        <f>IF(ISERROR(SMALL('Teilnehmende - Starters'!$D$81:$D$156,ROW(A26))),"",SMALL('Teilnehmende - Starters'!$D$81:$D$156,ROW(A26)))</f>
        <v/>
      </c>
      <c r="P40" s="1" t="str">
        <f>IF($O40="","",IF(VLOOKUP($O40,'Teilnehmende - Starters'!$D:$Z,P$11,0)="","",
IF(RIGHT(VLOOKUP($O40,'Teilnehmende - Starters'!$D:$Z,P$11,0),1)=" ",LEFT(VLOOKUP($O40,'Teilnehmende - Starters'!$D:$Z,P$11,0),LEN(VLOOKUP($O40,'Teilnehmende - Starters'!$D:$Z,P$11,0))-1),
VLOOKUP($O40,'Teilnehmende - Starters'!$D:$Z,P$11,0))))</f>
        <v/>
      </c>
      <c r="Q40" s="1" t="str">
        <f>IF($O40="","",IF(VLOOKUP($O40,'Teilnehmende - Starters'!$D:$Z,Q$11,0)="","",
IF(RIGHT(VLOOKUP($O40,'Teilnehmende - Starters'!$D:$Z,Q$11,0),1)=" ",LEFT(VLOOKUP($O40,'Teilnehmende - Starters'!$D:$Z,Q$11,0),LEN(VLOOKUP($O40,'Teilnehmende - Starters'!$D:$Z,Q$11,0))-1),
VLOOKUP($O40,'Teilnehmende - Starters'!$D:$Z,Q$11,0))))</f>
        <v/>
      </c>
      <c r="R40" s="1" t="str">
        <f t="shared" si="19"/>
        <v/>
      </c>
      <c r="S40" s="1" t="str">
        <f>IF($O40="","",IF(VLOOKUP($O40,'Teilnehmende - Starters'!$D:$Z,S$11,0)="","",VLOOKUP($O40,'Teilnehmende - Starters'!$D:$Z,S$11,0)))</f>
        <v/>
      </c>
      <c r="T40" s="1" t="str">
        <f>IF($O40="","",IF(VLOOKUP($O40,'Teilnehmende - Starters'!$D:$Z,T$11,0)="","",VLOOKUP($O40,'Teilnehmende - Starters'!$D:$Z,T$11,0)))</f>
        <v/>
      </c>
      <c r="U40" s="1" t="str">
        <f>IF($O40="","",IF(VLOOKUP(O40,'Teilnehmende - Starters'!$C:$I,7,0)="w",IF(OR(S40=20,S40=19),"DE","ME"),IF(OR(S40=20,S40=19),"HE","JE")))</f>
        <v/>
      </c>
      <c r="V40" s="1" t="str">
        <f t="shared" si="20"/>
        <v/>
      </c>
      <c r="W40" s="17"/>
      <c r="X40" s="1" t="str">
        <f>IF(ISERROR(SMALL('Teilnehmende - Starters'!$E$81:$E$156,ROW(A26))),"",SMALL('Teilnehmende - Starters'!$E$81:$E$156,ROW(A26)))</f>
        <v/>
      </c>
      <c r="Y40" s="1" t="str">
        <f>IF(X40="","",VLOOKUP(X40,'Teilnehmende - Starters'!$C:$Z,5,0)&amp;" "&amp;VLOOKUP(X40,'Teilnehmende - Starters'!$C:$Z,6,0))</f>
        <v/>
      </c>
      <c r="Z40" s="1" t="str">
        <f t="shared" si="21"/>
        <v/>
      </c>
      <c r="AA40" s="1" t="str">
        <f>IF(X40="","",IF(VLOOKUP(X40,'Teilnehmende - Starters'!$C:$Z,18,0)="Freimeldung",$A$2*100+99,VLOOKUP(Y40,'Teilnehmende - Starters'!$AA$5:$AD$80,4,FALSE)))</f>
        <v/>
      </c>
      <c r="AB40" s="1" t="str">
        <f>IF(AA40="","",IF(VLOOKUP(X40,'Teilnehmende - Starters'!$C:$Z,18,0)="Freimeldung","Freimeldung",VLOOKUP(AA40,$A$15:$E$77,4,0)&amp;" "&amp;VLOOKUP(AA40,$A$15:$E$77,5,0)))</f>
        <v/>
      </c>
      <c r="AC40" s="1" t="str">
        <f>IF(AA40="","",IF(VLOOKUP(X40,'Teilnehmende - Starters'!$C:$Z,18,0)="Freimeldung","",VLOOKUP(AA40,$A$15:$C$77,3,0)))</f>
        <v/>
      </c>
      <c r="AD40" s="1" t="str">
        <f>IF($X40="","",IF(VLOOKUP($X40,'Teilnehmende - Starters'!$C:$Z,AD$11,0)="","",VLOOKUP($X40,'Teilnehmende - Starters'!$C:$Z,AD$11,0)))</f>
        <v/>
      </c>
      <c r="AE40" s="1" t="str">
        <f>IF($X40="","",IF(VLOOKUP($X40,'Teilnehmende - Starters'!$C:$Z,AE$11,0)="","",VLOOKUP($X40,'Teilnehmende - Starters'!$C:$Z,AE$11,0)))</f>
        <v/>
      </c>
      <c r="AF40" s="1" t="str">
        <f>IF($X40="","",IF(VLOOKUP(X40,'Teilnehmende - Starters'!$C:$I,7,0)="w",IF(OR(AD40=20,AD40=19),"DD","MD"),IF(OR(AD40=20,AD40=19),"HD","JD")))</f>
        <v/>
      </c>
      <c r="AG40" s="1" t="str">
        <f t="shared" si="22"/>
        <v/>
      </c>
      <c r="AH40" s="17"/>
      <c r="AI40" s="1" t="str">
        <f>IF(ISERROR(SMALL('Teilnehmende - Starters'!$F$81:$F$156,ROW(#REF!))),"",SMALL('Teilnehmende - Starters'!$F$81:$F$156,ROW(#REF!)))</f>
        <v/>
      </c>
      <c r="AJ40" s="1" t="str">
        <f>IF(AI40="","",VLOOKUP(AI40,'Teilnehmende - Starters'!$C:$Z,5,0)&amp;" "&amp;VLOOKUP(AI40,'Teilnehmende - Starters'!$C:$Z,6,0))</f>
        <v/>
      </c>
      <c r="AK40" s="1" t="str">
        <f t="shared" si="23"/>
        <v/>
      </c>
      <c r="AL40" s="1" t="str">
        <f>IF(AI40="","",IF(VLOOKUP(AI40,'Teilnehmende - Starters'!$C:$AN,21,0)="Freimeldung",$A$2*100+99,VLOOKUP(AJ40,'Teilnehmende - Starters'!$AB$5:$AD$80,3,FALSE)))</f>
        <v/>
      </c>
      <c r="AM40" s="1" t="str">
        <f>IF(AL40="","",IF(VLOOKUP(AI40,'Teilnehmende - Starters'!$C:$Z,21,0)="Freimeldung","Freimeldung",VLOOKUP(AL40,$A$15:$E$77,4,0)&amp;" "&amp;VLOOKUP(AL40,$A$15:$E$77,5,0)))</f>
        <v/>
      </c>
      <c r="AN40" s="1" t="str">
        <f>IF(AL40="","",IF(VLOOKUP(AI40,'Teilnehmende - Starters'!$C:$Z,21,0)="Freimeldung","",VLOOKUP(AL40,$A$15:$C$77,3,0)))</f>
        <v/>
      </c>
      <c r="AO40" s="1" t="str">
        <f>IF($AI40="","",IF(VLOOKUP($AI40,'Teilnehmende - Starters'!$C:$Z,AO$11,0)="","",VLOOKUP($AI40,'Teilnehmende - Starters'!$C:$Z,AO$11,0)))</f>
        <v/>
      </c>
      <c r="AP40" s="1" t="str">
        <f>IF($AI40="","",IF(VLOOKUP($AI40,'Teilnehmende - Starters'!$C:$Z,AP$11,0)="","",VLOOKUP($AI40,'Teilnehmende - Starters'!$C:$Z,AP$11,0)))</f>
        <v/>
      </c>
      <c r="AQ40" s="1" t="str">
        <f t="shared" si="17"/>
        <v/>
      </c>
      <c r="AR40" s="1" t="str">
        <f t="shared" si="24"/>
        <v/>
      </c>
    </row>
    <row r="41" spans="1:44" x14ac:dyDescent="0.3">
      <c r="A41" s="1" t="str">
        <f>IF(ISERROR(SMALL('Teilnehmende - Starters'!$C$81:$C$156,ROW(A27))),"",SMALL('Teilnehmende - Starters'!$C$81:$C$156,ROW(A27)))</f>
        <v/>
      </c>
      <c r="B41" s="1" t="str">
        <f>IF($A41="","",IF(VLOOKUP($A41,'Teilnehmende - Starters'!$C:$Z,B$11,0)="","",SUBSTITUTE(VLOOKUP($A41,'Teilnehmende - Starters'!$C:$Z,B$11,0)," ","")))</f>
        <v/>
      </c>
      <c r="C41" s="1" t="str">
        <f>IF(A41="","",VLOOKUP(INT(A41/100),'Vereine - Clubs'!$C:$H,4,0))</f>
        <v/>
      </c>
      <c r="D41" s="1" t="str">
        <f>IF($A41="","",IF(VLOOKUP($A41,'Teilnehmende - Starters'!$C:$Z,D$11,0)="","",
IF(RIGHT(VLOOKUP($A41,'Teilnehmende - Starters'!$C:$Z,D$11,0),1)=" ",LEFT(VLOOKUP($A41,'Teilnehmende - Starters'!$C:$Z,D$11,0),LEN(VLOOKUP($A41,'Teilnehmende - Starters'!$C:$Z,D$11,0))-1),
VLOOKUP($A41,'Teilnehmende - Starters'!$C:$Z,D$11,0))))</f>
        <v/>
      </c>
      <c r="E41" s="1" t="str">
        <f>IF($A41="","",IF(VLOOKUP($A41,'Teilnehmende - Starters'!$C:$Z,E$11,0)="","",
IF(RIGHT(VLOOKUP($A41,'Teilnehmende - Starters'!$C:$Z,E$11,0),1)=" ",LEFT(VLOOKUP($A41,'Teilnehmende - Starters'!$C:$Z,E$11,0),LEN(VLOOKUP($A41,'Teilnehmende - Starters'!$C:$Z,E$11,0))-1),
VLOOKUP($A41,'Teilnehmende - Starters'!$C:$Z,E$11,0))))</f>
        <v/>
      </c>
      <c r="F41" s="72" t="str">
        <f>IF($A41="","",IF(VLOOKUP($A41,'Teilnehmende - Starters'!$C:$Z,F$11,0)="","",VLOOKUP($A41,'Teilnehmende - Starters'!$C:$Z,F$11,0)))</f>
        <v/>
      </c>
      <c r="G41" s="1" t="str">
        <f>IF($A41="","",IF(VLOOKUP($A41,'Teilnehmende - Starters'!$C:$Z,G$11,0)="","",VLOOKUP($A41,'Teilnehmende - Starters'!$C:$Z,G$11,0)))</f>
        <v/>
      </c>
      <c r="H41" s="1" t="str">
        <f>IF($A41="","",IF(VLOOKUP($A41,'Teilnehmende - Starters'!$C:$Z,H$11,0)="","",VLOOKUP($A41,'Teilnehmende - Starters'!$C:$Z,H$11,0)))</f>
        <v/>
      </c>
      <c r="I41" s="1" t="str">
        <f>IF($A41="","",IF(VLOOKUP($A41,'Teilnehmende - Starters'!$C:$Z,I$11,0)="","",VLOOKUP($A41,'Teilnehmende - Starters'!$C:$Z,I$11,0)))</f>
        <v/>
      </c>
      <c r="J41" s="1" t="str">
        <f>IF($A41="","",IF(VLOOKUP($A41,'Teilnehmende - Starters'!$C:$Z,J$11,0)="","",VLOOKUP($A41,'Teilnehmende - Starters'!$C:$Z,J$11,0)))</f>
        <v/>
      </c>
      <c r="K41" s="1" t="str">
        <f>IF($A41="","",IF(VLOOKUP($A41,'Teilnehmende - Starters'!$C:$Z,K$11,0)="","",VLOOKUP($A41,'Teilnehmende - Starters'!$C:$Z,K$11,0)))</f>
        <v/>
      </c>
      <c r="L41" s="1" t="str">
        <f>IF($A41="","",IF(VLOOKUP($A41,'Teilnehmende - Starters'!$C:$Z,L$11,0)="","",VLOOKUP($A41,'Teilnehmende - Starters'!$C:$Z,L$11,0)))</f>
        <v/>
      </c>
      <c r="M41" s="1" t="str">
        <f>IF($A41="","",IF(VLOOKUP($A41,'Teilnehmende - Starters'!$C:$Z,M$11,0)="","",VLOOKUP($A41,'Teilnehmende - Starters'!$C:$Z,M$11,0)))</f>
        <v/>
      </c>
      <c r="N41" s="17"/>
      <c r="O41" s="1" t="str">
        <f>IF(ISERROR(SMALL('Teilnehmende - Starters'!$D$81:$D$156,ROW(A27))),"",SMALL('Teilnehmende - Starters'!$D$81:$D$156,ROW(A27)))</f>
        <v/>
      </c>
      <c r="P41" s="1" t="str">
        <f>IF($O41="","",IF(VLOOKUP($O41,'Teilnehmende - Starters'!$D:$Z,P$11,0)="","",
IF(RIGHT(VLOOKUP($O41,'Teilnehmende - Starters'!$D:$Z,P$11,0),1)=" ",LEFT(VLOOKUP($O41,'Teilnehmende - Starters'!$D:$Z,P$11,0),LEN(VLOOKUP($O41,'Teilnehmende - Starters'!$D:$Z,P$11,0))-1),
VLOOKUP($O41,'Teilnehmende - Starters'!$D:$Z,P$11,0))))</f>
        <v/>
      </c>
      <c r="Q41" s="1" t="str">
        <f>IF($O41="","",IF(VLOOKUP($O41,'Teilnehmende - Starters'!$D:$Z,Q$11,0)="","",
IF(RIGHT(VLOOKUP($O41,'Teilnehmende - Starters'!$D:$Z,Q$11,0),1)=" ",LEFT(VLOOKUP($O41,'Teilnehmende - Starters'!$D:$Z,Q$11,0),LEN(VLOOKUP($O41,'Teilnehmende - Starters'!$D:$Z,Q$11,0))-1),
VLOOKUP($O41,'Teilnehmende - Starters'!$D:$Z,Q$11,0))))</f>
        <v/>
      </c>
      <c r="R41" s="1" t="str">
        <f t="shared" si="19"/>
        <v/>
      </c>
      <c r="S41" s="1" t="str">
        <f>IF($O41="","",IF(VLOOKUP($O41,'Teilnehmende - Starters'!$D:$Z,S$11,0)="","",VLOOKUP($O41,'Teilnehmende - Starters'!$D:$Z,S$11,0)))</f>
        <v/>
      </c>
      <c r="T41" s="1" t="str">
        <f>IF($O41="","",IF(VLOOKUP($O41,'Teilnehmende - Starters'!$D:$Z,T$11,0)="","",VLOOKUP($O41,'Teilnehmende - Starters'!$D:$Z,T$11,0)))</f>
        <v/>
      </c>
      <c r="U41" s="1" t="str">
        <f>IF($O41="","",IF(VLOOKUP(O41,'Teilnehmende - Starters'!$C:$I,7,0)="w",IF(OR(S41=20,S41=19),"DE","ME"),IF(OR(S41=20,S41=19),"HE","JE")))</f>
        <v/>
      </c>
      <c r="V41" s="1" t="str">
        <f t="shared" si="20"/>
        <v/>
      </c>
      <c r="W41" s="17"/>
      <c r="X41" s="1" t="str">
        <f>IF(ISERROR(SMALL('Teilnehmende - Starters'!$E$81:$E$156,ROW(A27))),"",SMALL('Teilnehmende - Starters'!$E$81:$E$156,ROW(A27)))</f>
        <v/>
      </c>
      <c r="Y41" s="1" t="str">
        <f>IF(X41="","",VLOOKUP(X41,'Teilnehmende - Starters'!$C:$Z,5,0)&amp;" "&amp;VLOOKUP(X41,'Teilnehmende - Starters'!$C:$Z,6,0))</f>
        <v/>
      </c>
      <c r="Z41" s="1" t="str">
        <f t="shared" si="21"/>
        <v/>
      </c>
      <c r="AA41" s="1" t="str">
        <f>IF(X41="","",IF(VLOOKUP(X41,'Teilnehmende - Starters'!$C:$Z,18,0)="Freimeldung",$A$2*100+99,VLOOKUP(Y41,'Teilnehmende - Starters'!$AA$5:$AD$80,4,FALSE)))</f>
        <v/>
      </c>
      <c r="AB41" s="1" t="str">
        <f>IF(AA41="","",IF(VLOOKUP(X41,'Teilnehmende - Starters'!$C:$Z,18,0)="Freimeldung","Freimeldung",VLOOKUP(AA41,$A$15:$E$77,4,0)&amp;" "&amp;VLOOKUP(AA41,$A$15:$E$77,5,0)))</f>
        <v/>
      </c>
      <c r="AC41" s="1" t="str">
        <f>IF(AA41="","",IF(VLOOKUP(X41,'Teilnehmende - Starters'!$C:$Z,18,0)="Freimeldung","",VLOOKUP(AA41,$A$15:$C$77,3,0)))</f>
        <v/>
      </c>
      <c r="AD41" s="1" t="str">
        <f>IF($X41="","",IF(VLOOKUP($X41,'Teilnehmende - Starters'!$C:$Z,AD$11,0)="","",VLOOKUP($X41,'Teilnehmende - Starters'!$C:$Z,AD$11,0)))</f>
        <v/>
      </c>
      <c r="AE41" s="1" t="str">
        <f>IF($X41="","",IF(VLOOKUP($X41,'Teilnehmende - Starters'!$C:$Z,AE$11,0)="","",VLOOKUP($X41,'Teilnehmende - Starters'!$C:$Z,AE$11,0)))</f>
        <v/>
      </c>
      <c r="AF41" s="1" t="str">
        <f>IF($X41="","",IF(VLOOKUP(X41,'Teilnehmende - Starters'!$C:$I,7,0)="w",IF(OR(AD41=20,AD41=19),"DD","MD"),IF(OR(AD41=20,AD41=19),"HD","JD")))</f>
        <v/>
      </c>
      <c r="AG41" s="1" t="str">
        <f t="shared" si="22"/>
        <v/>
      </c>
      <c r="AH41" s="17"/>
      <c r="AI41" s="1" t="str">
        <f>IF(ISERROR(SMALL('Teilnehmende - Starters'!$F$81:$F$156,ROW(#REF!))),"",SMALL('Teilnehmende - Starters'!$F$81:$F$156,ROW(#REF!)))</f>
        <v/>
      </c>
      <c r="AJ41" s="1" t="str">
        <f>IF(AI41="","",VLOOKUP(AI41,'Teilnehmende - Starters'!$C:$Z,5,0)&amp;" "&amp;VLOOKUP(AI41,'Teilnehmende - Starters'!$C:$Z,6,0))</f>
        <v/>
      </c>
      <c r="AK41" s="1" t="str">
        <f t="shared" si="23"/>
        <v/>
      </c>
      <c r="AL41" s="1" t="str">
        <f>IF(AI41="","",IF(VLOOKUP(AI41,'Teilnehmende - Starters'!$C:$AN,21,0)="Freimeldung",$A$2*100+99,VLOOKUP(AJ41,'Teilnehmende - Starters'!$AB$5:$AD$80,3,FALSE)))</f>
        <v/>
      </c>
      <c r="AM41" s="1" t="str">
        <f>IF(AL41="","",IF(VLOOKUP(AI41,'Teilnehmende - Starters'!$C:$Z,21,0)="Freimeldung","Freimeldung",VLOOKUP(AL41,$A$15:$E$77,4,0)&amp;" "&amp;VLOOKUP(AL41,$A$15:$E$77,5,0)))</f>
        <v/>
      </c>
      <c r="AN41" s="1" t="str">
        <f>IF(AL41="","",IF(VLOOKUP(AI41,'Teilnehmende - Starters'!$C:$Z,21,0)="Freimeldung","",VLOOKUP(AL41,$A$15:$C$77,3,0)))</f>
        <v/>
      </c>
      <c r="AO41" s="1" t="str">
        <f>IF($AI41="","",IF(VLOOKUP($AI41,'Teilnehmende - Starters'!$C:$Z,AO$11,0)="","",VLOOKUP($AI41,'Teilnehmende - Starters'!$C:$Z,AO$11,0)))</f>
        <v/>
      </c>
      <c r="AP41" s="1" t="str">
        <f>IF($AI41="","",IF(VLOOKUP($AI41,'Teilnehmende - Starters'!$C:$Z,AP$11,0)="","",VLOOKUP($AI41,'Teilnehmende - Starters'!$C:$Z,AP$11,0)))</f>
        <v/>
      </c>
      <c r="AQ41" s="1" t="str">
        <f t="shared" si="17"/>
        <v/>
      </c>
      <c r="AR41" s="1" t="str">
        <f t="shared" si="24"/>
        <v/>
      </c>
    </row>
    <row r="42" spans="1:44" x14ac:dyDescent="0.3">
      <c r="A42" s="1" t="str">
        <f>IF(ISERROR(SMALL('Teilnehmende - Starters'!$C$81:$C$156,ROW(A28))),"",SMALL('Teilnehmende - Starters'!$C$81:$C$156,ROW(A28)))</f>
        <v/>
      </c>
      <c r="B42" s="1" t="str">
        <f>IF($A42="","",IF(VLOOKUP($A42,'Teilnehmende - Starters'!$C:$Z,B$11,0)="","",SUBSTITUTE(VLOOKUP($A42,'Teilnehmende - Starters'!$C:$Z,B$11,0)," ","")))</f>
        <v/>
      </c>
      <c r="C42" s="1" t="str">
        <f>IF(A42="","",VLOOKUP(INT(A42/100),'Vereine - Clubs'!$C:$H,4,0))</f>
        <v/>
      </c>
      <c r="D42" s="1" t="str">
        <f>IF($A42="","",IF(VLOOKUP($A42,'Teilnehmende - Starters'!$C:$Z,D$11,0)="","",
IF(RIGHT(VLOOKUP($A42,'Teilnehmende - Starters'!$C:$Z,D$11,0),1)=" ",LEFT(VLOOKUP($A42,'Teilnehmende - Starters'!$C:$Z,D$11,0),LEN(VLOOKUP($A42,'Teilnehmende - Starters'!$C:$Z,D$11,0))-1),
VLOOKUP($A42,'Teilnehmende - Starters'!$C:$Z,D$11,0))))</f>
        <v/>
      </c>
      <c r="E42" s="1" t="str">
        <f>IF($A42="","",IF(VLOOKUP($A42,'Teilnehmende - Starters'!$C:$Z,E$11,0)="","",
IF(RIGHT(VLOOKUP($A42,'Teilnehmende - Starters'!$C:$Z,E$11,0),1)=" ",LEFT(VLOOKUP($A42,'Teilnehmende - Starters'!$C:$Z,E$11,0),LEN(VLOOKUP($A42,'Teilnehmende - Starters'!$C:$Z,E$11,0))-1),
VLOOKUP($A42,'Teilnehmende - Starters'!$C:$Z,E$11,0))))</f>
        <v/>
      </c>
      <c r="F42" s="72" t="str">
        <f>IF($A42="","",IF(VLOOKUP($A42,'Teilnehmende - Starters'!$C:$Z,F$11,0)="","",VLOOKUP($A42,'Teilnehmende - Starters'!$C:$Z,F$11,0)))</f>
        <v/>
      </c>
      <c r="G42" s="1" t="str">
        <f>IF($A42="","",IF(VLOOKUP($A42,'Teilnehmende - Starters'!$C:$Z,G$11,0)="","",VLOOKUP($A42,'Teilnehmende - Starters'!$C:$Z,G$11,0)))</f>
        <v/>
      </c>
      <c r="H42" s="1" t="str">
        <f>IF($A42="","",IF(VLOOKUP($A42,'Teilnehmende - Starters'!$C:$Z,H$11,0)="","",VLOOKUP($A42,'Teilnehmende - Starters'!$C:$Z,H$11,0)))</f>
        <v/>
      </c>
      <c r="I42" s="1" t="str">
        <f>IF($A42="","",IF(VLOOKUP($A42,'Teilnehmende - Starters'!$C:$Z,I$11,0)="","",VLOOKUP($A42,'Teilnehmende - Starters'!$C:$Z,I$11,0)))</f>
        <v/>
      </c>
      <c r="J42" s="1" t="str">
        <f>IF($A42="","",IF(VLOOKUP($A42,'Teilnehmende - Starters'!$C:$Z,J$11,0)="","",VLOOKUP($A42,'Teilnehmende - Starters'!$C:$Z,J$11,0)))</f>
        <v/>
      </c>
      <c r="K42" s="1" t="str">
        <f>IF($A42="","",IF(VLOOKUP($A42,'Teilnehmende - Starters'!$C:$Z,K$11,0)="","",VLOOKUP($A42,'Teilnehmende - Starters'!$C:$Z,K$11,0)))</f>
        <v/>
      </c>
      <c r="L42" s="1" t="str">
        <f>IF($A42="","",IF(VLOOKUP($A42,'Teilnehmende - Starters'!$C:$Z,L$11,0)="","",VLOOKUP($A42,'Teilnehmende - Starters'!$C:$Z,L$11,0)))</f>
        <v/>
      </c>
      <c r="M42" s="1" t="str">
        <f>IF($A42="","",IF(VLOOKUP($A42,'Teilnehmende - Starters'!$C:$Z,M$11,0)="","",VLOOKUP($A42,'Teilnehmende - Starters'!$C:$Z,M$11,0)))</f>
        <v/>
      </c>
      <c r="N42" s="17"/>
      <c r="O42" s="1" t="str">
        <f>IF(ISERROR(SMALL('Teilnehmende - Starters'!$D$81:$D$156,ROW(A28))),"",SMALL('Teilnehmende - Starters'!$D$81:$D$156,ROW(A28)))</f>
        <v/>
      </c>
      <c r="P42" s="1" t="str">
        <f>IF($O42="","",IF(VLOOKUP($O42,'Teilnehmende - Starters'!$D:$Z,P$11,0)="","",
IF(RIGHT(VLOOKUP($O42,'Teilnehmende - Starters'!$D:$Z,P$11,0),1)=" ",LEFT(VLOOKUP($O42,'Teilnehmende - Starters'!$D:$Z,P$11,0),LEN(VLOOKUP($O42,'Teilnehmende - Starters'!$D:$Z,P$11,0))-1),
VLOOKUP($O42,'Teilnehmende - Starters'!$D:$Z,P$11,0))))</f>
        <v/>
      </c>
      <c r="Q42" s="1" t="str">
        <f>IF($O42="","",IF(VLOOKUP($O42,'Teilnehmende - Starters'!$D:$Z,Q$11,0)="","",
IF(RIGHT(VLOOKUP($O42,'Teilnehmende - Starters'!$D:$Z,Q$11,0),1)=" ",LEFT(VLOOKUP($O42,'Teilnehmende - Starters'!$D:$Z,Q$11,0),LEN(VLOOKUP($O42,'Teilnehmende - Starters'!$D:$Z,Q$11,0))-1),
VLOOKUP($O42,'Teilnehmende - Starters'!$D:$Z,Q$11,0))))</f>
        <v/>
      </c>
      <c r="R42" s="1" t="str">
        <f t="shared" si="19"/>
        <v/>
      </c>
      <c r="S42" s="1" t="str">
        <f>IF($O42="","",IF(VLOOKUP($O42,'Teilnehmende - Starters'!$D:$Z,S$11,0)="","",VLOOKUP($O42,'Teilnehmende - Starters'!$D:$Z,S$11,0)))</f>
        <v/>
      </c>
      <c r="T42" s="1" t="str">
        <f>IF($O42="","",IF(VLOOKUP($O42,'Teilnehmende - Starters'!$D:$Z,T$11,0)="","",VLOOKUP($O42,'Teilnehmende - Starters'!$D:$Z,T$11,0)))</f>
        <v/>
      </c>
      <c r="U42" s="1" t="str">
        <f>IF($O42="","",IF(VLOOKUP(O42,'Teilnehmende - Starters'!$C:$I,7,0)="w",IF(OR(S42=20,S42=19),"DE","ME"),IF(OR(S42=20,S42=19),"HE","JE")))</f>
        <v/>
      </c>
      <c r="V42" s="1" t="str">
        <f t="shared" si="20"/>
        <v/>
      </c>
      <c r="W42" s="17"/>
      <c r="X42" s="1" t="str">
        <f>IF(ISERROR(SMALL('Teilnehmende - Starters'!$E$81:$E$156,ROW(A28))),"",SMALL('Teilnehmende - Starters'!$E$81:$E$156,ROW(A28)))</f>
        <v/>
      </c>
      <c r="Y42" s="1" t="str">
        <f>IF(X42="","",VLOOKUP(X42,'Teilnehmende - Starters'!$C:$Z,5,0)&amp;" "&amp;VLOOKUP(X42,'Teilnehmende - Starters'!$C:$Z,6,0))</f>
        <v/>
      </c>
      <c r="Z42" s="1" t="str">
        <f t="shared" si="21"/>
        <v/>
      </c>
      <c r="AA42" s="1" t="str">
        <f>IF(X42="","",IF(VLOOKUP(X42,'Teilnehmende - Starters'!$C:$Z,18,0)="Freimeldung",$A$2*100+99,VLOOKUP(Y42,'Teilnehmende - Starters'!$AA$5:$AD$80,4,FALSE)))</f>
        <v/>
      </c>
      <c r="AB42" s="1" t="str">
        <f>IF(AA42="","",IF(VLOOKUP(X42,'Teilnehmende - Starters'!$C:$Z,18,0)="Freimeldung","Freimeldung",VLOOKUP(AA42,$A$15:$E$77,4,0)&amp;" "&amp;VLOOKUP(AA42,$A$15:$E$77,5,0)))</f>
        <v/>
      </c>
      <c r="AC42" s="1" t="str">
        <f>IF(AA42="","",IF(VLOOKUP(X42,'Teilnehmende - Starters'!$C:$Z,18,0)="Freimeldung","",VLOOKUP(AA42,$A$15:$C$77,3,0)))</f>
        <v/>
      </c>
      <c r="AD42" s="1" t="str">
        <f>IF($X42="","",IF(VLOOKUP($X42,'Teilnehmende - Starters'!$C:$Z,AD$11,0)="","",VLOOKUP($X42,'Teilnehmende - Starters'!$C:$Z,AD$11,0)))</f>
        <v/>
      </c>
      <c r="AE42" s="1" t="str">
        <f>IF($X42="","",IF(VLOOKUP($X42,'Teilnehmende - Starters'!$C:$Z,AE$11,0)="","",VLOOKUP($X42,'Teilnehmende - Starters'!$C:$Z,AE$11,0)))</f>
        <v/>
      </c>
      <c r="AF42" s="1" t="str">
        <f>IF($X42="","",IF(VLOOKUP(X42,'Teilnehmende - Starters'!$C:$I,7,0)="w",IF(OR(AD42=20,AD42=19),"DD","MD"),IF(OR(AD42=20,AD42=19),"HD","JD")))</f>
        <v/>
      </c>
      <c r="AG42" s="1" t="str">
        <f t="shared" si="22"/>
        <v/>
      </c>
      <c r="AH42" s="17"/>
      <c r="AI42" s="1" t="str">
        <f>IF(ISERROR(SMALL('Teilnehmende - Starters'!$F$81:$F$156,ROW(#REF!))),"",SMALL('Teilnehmende - Starters'!$F$81:$F$156,ROW(#REF!)))</f>
        <v/>
      </c>
      <c r="AJ42" s="1" t="str">
        <f>IF(AI42="","",VLOOKUP(AI42,'Teilnehmende - Starters'!$C:$Z,5,0)&amp;" "&amp;VLOOKUP(AI42,'Teilnehmende - Starters'!$C:$Z,6,0))</f>
        <v/>
      </c>
      <c r="AK42" s="1" t="str">
        <f t="shared" si="23"/>
        <v/>
      </c>
      <c r="AL42" s="1" t="str">
        <f>IF(AI42="","",IF(VLOOKUP(AI42,'Teilnehmende - Starters'!$C:$AN,21,0)="Freimeldung",$A$2*100+99,VLOOKUP(AJ42,'Teilnehmende - Starters'!$AB$5:$AD$80,3,FALSE)))</f>
        <v/>
      </c>
      <c r="AM42" s="1" t="str">
        <f>IF(AL42="","",IF(VLOOKUP(AI42,'Teilnehmende - Starters'!$C:$Z,21,0)="Freimeldung","Freimeldung",VLOOKUP(AL42,$A$15:$E$77,4,0)&amp;" "&amp;VLOOKUP(AL42,$A$15:$E$77,5,0)))</f>
        <v/>
      </c>
      <c r="AN42" s="1" t="str">
        <f>IF(AL42="","",IF(VLOOKUP(AI42,'Teilnehmende - Starters'!$C:$Z,21,0)="Freimeldung","",VLOOKUP(AL42,$A$15:$C$77,3,0)))</f>
        <v/>
      </c>
      <c r="AO42" s="1" t="str">
        <f>IF($AI42="","",IF(VLOOKUP($AI42,'Teilnehmende - Starters'!$C:$Z,AO$11,0)="","",VLOOKUP($AI42,'Teilnehmende - Starters'!$C:$Z,AO$11,0)))</f>
        <v/>
      </c>
      <c r="AP42" s="1" t="str">
        <f>IF($AI42="","",IF(VLOOKUP($AI42,'Teilnehmende - Starters'!$C:$Z,AP$11,0)="","",VLOOKUP($AI42,'Teilnehmende - Starters'!$C:$Z,AP$11,0)))</f>
        <v/>
      </c>
      <c r="AQ42" s="1" t="str">
        <f t="shared" si="17"/>
        <v/>
      </c>
      <c r="AR42" s="1" t="str">
        <f t="shared" si="24"/>
        <v/>
      </c>
    </row>
    <row r="43" spans="1:44" x14ac:dyDescent="0.3">
      <c r="A43" s="1" t="str">
        <f>IF(ISERROR(SMALL('Teilnehmende - Starters'!$C$81:$C$156,ROW(A29))),"",SMALL('Teilnehmende - Starters'!$C$81:$C$156,ROW(A29)))</f>
        <v/>
      </c>
      <c r="B43" s="1" t="str">
        <f>IF($A43="","",IF(VLOOKUP($A43,'Teilnehmende - Starters'!$C:$Z,B$11,0)="","",SUBSTITUTE(VLOOKUP($A43,'Teilnehmende - Starters'!$C:$Z,B$11,0)," ","")))</f>
        <v/>
      </c>
      <c r="C43" s="1" t="str">
        <f>IF(A43="","",VLOOKUP(INT(A43/100),'Vereine - Clubs'!$C:$H,4,0))</f>
        <v/>
      </c>
      <c r="D43" s="1" t="str">
        <f>IF($A43="","",IF(VLOOKUP($A43,'Teilnehmende - Starters'!$C:$Z,D$11,0)="","",
IF(RIGHT(VLOOKUP($A43,'Teilnehmende - Starters'!$C:$Z,D$11,0),1)=" ",LEFT(VLOOKUP($A43,'Teilnehmende - Starters'!$C:$Z,D$11,0),LEN(VLOOKUP($A43,'Teilnehmende - Starters'!$C:$Z,D$11,0))-1),
VLOOKUP($A43,'Teilnehmende - Starters'!$C:$Z,D$11,0))))</f>
        <v/>
      </c>
      <c r="E43" s="1" t="str">
        <f>IF($A43="","",IF(VLOOKUP($A43,'Teilnehmende - Starters'!$C:$Z,E$11,0)="","",
IF(RIGHT(VLOOKUP($A43,'Teilnehmende - Starters'!$C:$Z,E$11,0),1)=" ",LEFT(VLOOKUP($A43,'Teilnehmende - Starters'!$C:$Z,E$11,0),LEN(VLOOKUP($A43,'Teilnehmende - Starters'!$C:$Z,E$11,0))-1),
VLOOKUP($A43,'Teilnehmende - Starters'!$C:$Z,E$11,0))))</f>
        <v/>
      </c>
      <c r="F43" s="72" t="str">
        <f>IF($A43="","",IF(VLOOKUP($A43,'Teilnehmende - Starters'!$C:$Z,F$11,0)="","",VLOOKUP($A43,'Teilnehmende - Starters'!$C:$Z,F$11,0)))</f>
        <v/>
      </c>
      <c r="G43" s="1" t="str">
        <f>IF($A43="","",IF(VLOOKUP($A43,'Teilnehmende - Starters'!$C:$Z,G$11,0)="","",VLOOKUP($A43,'Teilnehmende - Starters'!$C:$Z,G$11,0)))</f>
        <v/>
      </c>
      <c r="H43" s="1" t="str">
        <f>IF($A43="","",IF(VLOOKUP($A43,'Teilnehmende - Starters'!$C:$Z,H$11,0)="","",VLOOKUP($A43,'Teilnehmende - Starters'!$C:$Z,H$11,0)))</f>
        <v/>
      </c>
      <c r="I43" s="1" t="str">
        <f>IF($A43="","",IF(VLOOKUP($A43,'Teilnehmende - Starters'!$C:$Z,I$11,0)="","",VLOOKUP($A43,'Teilnehmende - Starters'!$C:$Z,I$11,0)))</f>
        <v/>
      </c>
      <c r="J43" s="1" t="str">
        <f>IF($A43="","",IF(VLOOKUP($A43,'Teilnehmende - Starters'!$C:$Z,J$11,0)="","",VLOOKUP($A43,'Teilnehmende - Starters'!$C:$Z,J$11,0)))</f>
        <v/>
      </c>
      <c r="K43" s="1" t="str">
        <f>IF($A43="","",IF(VLOOKUP($A43,'Teilnehmende - Starters'!$C:$Z,K$11,0)="","",VLOOKUP($A43,'Teilnehmende - Starters'!$C:$Z,K$11,0)))</f>
        <v/>
      </c>
      <c r="L43" s="1" t="str">
        <f>IF($A43="","",IF(VLOOKUP($A43,'Teilnehmende - Starters'!$C:$Z,L$11,0)="","",VLOOKUP($A43,'Teilnehmende - Starters'!$C:$Z,L$11,0)))</f>
        <v/>
      </c>
      <c r="M43" s="1" t="str">
        <f>IF($A43="","",IF(VLOOKUP($A43,'Teilnehmende - Starters'!$C:$Z,M$11,0)="","",VLOOKUP($A43,'Teilnehmende - Starters'!$C:$Z,M$11,0)))</f>
        <v/>
      </c>
      <c r="N43" s="17"/>
      <c r="O43" s="1" t="str">
        <f>IF(ISERROR(SMALL('Teilnehmende - Starters'!$D$81:$D$156,ROW(A29))),"",SMALL('Teilnehmende - Starters'!$D$81:$D$156,ROW(A29)))</f>
        <v/>
      </c>
      <c r="P43" s="1" t="str">
        <f>IF($O43="","",IF(VLOOKUP($O43,'Teilnehmende - Starters'!$D:$Z,P$11,0)="","",
IF(RIGHT(VLOOKUP($O43,'Teilnehmende - Starters'!$D:$Z,P$11,0),1)=" ",LEFT(VLOOKUP($O43,'Teilnehmende - Starters'!$D:$Z,P$11,0),LEN(VLOOKUP($O43,'Teilnehmende - Starters'!$D:$Z,P$11,0))-1),
VLOOKUP($O43,'Teilnehmende - Starters'!$D:$Z,P$11,0))))</f>
        <v/>
      </c>
      <c r="Q43" s="1" t="str">
        <f>IF($O43="","",IF(VLOOKUP($O43,'Teilnehmende - Starters'!$D:$Z,Q$11,0)="","",
IF(RIGHT(VLOOKUP($O43,'Teilnehmende - Starters'!$D:$Z,Q$11,0),1)=" ",LEFT(VLOOKUP($O43,'Teilnehmende - Starters'!$D:$Z,Q$11,0),LEN(VLOOKUP($O43,'Teilnehmende - Starters'!$D:$Z,Q$11,0))-1),
VLOOKUP($O43,'Teilnehmende - Starters'!$D:$Z,Q$11,0))))</f>
        <v/>
      </c>
      <c r="R43" s="1" t="str">
        <f t="shared" si="19"/>
        <v/>
      </c>
      <c r="S43" s="1" t="str">
        <f>IF($O43="","",IF(VLOOKUP($O43,'Teilnehmende - Starters'!$D:$Z,S$11,0)="","",VLOOKUP($O43,'Teilnehmende - Starters'!$D:$Z,S$11,0)))</f>
        <v/>
      </c>
      <c r="T43" s="1" t="str">
        <f>IF($O43="","",IF(VLOOKUP($O43,'Teilnehmende - Starters'!$D:$Z,T$11,0)="","",VLOOKUP($O43,'Teilnehmende - Starters'!$D:$Z,T$11,0)))</f>
        <v/>
      </c>
      <c r="U43" s="1" t="str">
        <f>IF($O43="","",IF(VLOOKUP(O43,'Teilnehmende - Starters'!$C:$I,7,0)="w",IF(OR(S43=20,S43=19),"DE","ME"),IF(OR(S43=20,S43=19),"HE","JE")))</f>
        <v/>
      </c>
      <c r="V43" s="1" t="str">
        <f t="shared" si="20"/>
        <v/>
      </c>
      <c r="W43" s="17"/>
      <c r="X43" s="1" t="str">
        <f>IF(ISERROR(SMALL('Teilnehmende - Starters'!$E$81:$E$156,ROW(A29))),"",SMALL('Teilnehmende - Starters'!$E$81:$E$156,ROW(A29)))</f>
        <v/>
      </c>
      <c r="Y43" s="1" t="str">
        <f>IF(X43="","",VLOOKUP(X43,'Teilnehmende - Starters'!$C:$Z,5,0)&amp;" "&amp;VLOOKUP(X43,'Teilnehmende - Starters'!$C:$Z,6,0))</f>
        <v/>
      </c>
      <c r="Z43" s="1" t="str">
        <f t="shared" si="21"/>
        <v/>
      </c>
      <c r="AA43" s="1" t="str">
        <f>IF(X43="","",IF(VLOOKUP(X43,'Teilnehmende - Starters'!$C:$Z,18,0)="Freimeldung",$A$2*100+99,VLOOKUP(Y43,'Teilnehmende - Starters'!$AA$5:$AD$80,4,FALSE)))</f>
        <v/>
      </c>
      <c r="AB43" s="1" t="str">
        <f>IF(AA43="","",IF(VLOOKUP(X43,'Teilnehmende - Starters'!$C:$Z,18,0)="Freimeldung","Freimeldung",VLOOKUP(AA43,$A$15:$E$77,4,0)&amp;" "&amp;VLOOKUP(AA43,$A$15:$E$77,5,0)))</f>
        <v/>
      </c>
      <c r="AC43" s="1" t="str">
        <f>IF(AA43="","",IF(VLOOKUP(X43,'Teilnehmende - Starters'!$C:$Z,18,0)="Freimeldung","",VLOOKUP(AA43,$A$15:$C$77,3,0)))</f>
        <v/>
      </c>
      <c r="AD43" s="1" t="str">
        <f>IF($X43="","",IF(VLOOKUP($X43,'Teilnehmende - Starters'!$C:$Z,AD$11,0)="","",VLOOKUP($X43,'Teilnehmende - Starters'!$C:$Z,AD$11,0)))</f>
        <v/>
      </c>
      <c r="AE43" s="1" t="str">
        <f>IF($X43="","",IF(VLOOKUP($X43,'Teilnehmende - Starters'!$C:$Z,AE$11,0)="","",VLOOKUP($X43,'Teilnehmende - Starters'!$C:$Z,AE$11,0)))</f>
        <v/>
      </c>
      <c r="AF43" s="1" t="str">
        <f>IF($X43="","",IF(VLOOKUP(X43,'Teilnehmende - Starters'!$C:$I,7,0)="w",IF(OR(AD43=20,AD43=19),"DD","MD"),IF(OR(AD43=20,AD43=19),"HD","JD")))</f>
        <v/>
      </c>
      <c r="AG43" s="1" t="str">
        <f t="shared" si="22"/>
        <v/>
      </c>
      <c r="AH43" s="17"/>
      <c r="AI43" s="1" t="str">
        <f>IF(ISERROR(SMALL('Teilnehmende - Starters'!$F$81:$F$156,ROW(#REF!))),"",SMALL('Teilnehmende - Starters'!$F$81:$F$156,ROW(#REF!)))</f>
        <v/>
      </c>
      <c r="AJ43" s="1" t="str">
        <f>IF(AI43="","",VLOOKUP(AI43,'Teilnehmende - Starters'!$C:$Z,5,0)&amp;" "&amp;VLOOKUP(AI43,'Teilnehmende - Starters'!$C:$Z,6,0))</f>
        <v/>
      </c>
      <c r="AK43" s="1" t="str">
        <f t="shared" si="23"/>
        <v/>
      </c>
      <c r="AL43" s="1" t="str">
        <f>IF(AI43="","",IF(VLOOKUP(AI43,'Teilnehmende - Starters'!$C:$AN,21,0)="Freimeldung",$A$2*100+99,VLOOKUP(AJ43,'Teilnehmende - Starters'!$AB$5:$AD$80,3,FALSE)))</f>
        <v/>
      </c>
      <c r="AM43" s="1" t="str">
        <f>IF(AL43="","",IF(VLOOKUP(AI43,'Teilnehmende - Starters'!$C:$Z,21,0)="Freimeldung","Freimeldung",VLOOKUP(AL43,$A$15:$E$77,4,0)&amp;" "&amp;VLOOKUP(AL43,$A$15:$E$77,5,0)))</f>
        <v/>
      </c>
      <c r="AN43" s="1" t="str">
        <f>IF(AL43="","",IF(VLOOKUP(AI43,'Teilnehmende - Starters'!$C:$Z,21,0)="Freimeldung","",VLOOKUP(AL43,$A$15:$C$77,3,0)))</f>
        <v/>
      </c>
      <c r="AO43" s="1" t="str">
        <f>IF($AI43="","",IF(VLOOKUP($AI43,'Teilnehmende - Starters'!$C:$Z,AO$11,0)="","",VLOOKUP($AI43,'Teilnehmende - Starters'!$C:$Z,AO$11,0)))</f>
        <v/>
      </c>
      <c r="AP43" s="1" t="str">
        <f>IF($AI43="","",IF(VLOOKUP($AI43,'Teilnehmende - Starters'!$C:$Z,AP$11,0)="","",VLOOKUP($AI43,'Teilnehmende - Starters'!$C:$Z,AP$11,0)))</f>
        <v/>
      </c>
      <c r="AQ43" s="1" t="str">
        <f t="shared" si="17"/>
        <v/>
      </c>
      <c r="AR43" s="1" t="str">
        <f t="shared" si="24"/>
        <v/>
      </c>
    </row>
    <row r="44" spans="1:44" x14ac:dyDescent="0.3">
      <c r="A44" s="1" t="str">
        <f>IF(ISERROR(SMALL('Teilnehmende - Starters'!$C$81:$C$156,ROW(A30))),"",SMALL('Teilnehmende - Starters'!$C$81:$C$156,ROW(A30)))</f>
        <v/>
      </c>
      <c r="B44" s="1" t="str">
        <f>IF($A44="","",IF(VLOOKUP($A44,'Teilnehmende - Starters'!$C:$Z,B$11,0)="","",SUBSTITUTE(VLOOKUP($A44,'Teilnehmende - Starters'!$C:$Z,B$11,0)," ","")))</f>
        <v/>
      </c>
      <c r="C44" s="1" t="str">
        <f>IF(A44="","",VLOOKUP(INT(A44/100),'Vereine - Clubs'!$C:$H,4,0))</f>
        <v/>
      </c>
      <c r="D44" s="1" t="str">
        <f>IF($A44="","",IF(VLOOKUP($A44,'Teilnehmende - Starters'!$C:$Z,D$11,0)="","",
IF(RIGHT(VLOOKUP($A44,'Teilnehmende - Starters'!$C:$Z,D$11,0),1)=" ",LEFT(VLOOKUP($A44,'Teilnehmende - Starters'!$C:$Z,D$11,0),LEN(VLOOKUP($A44,'Teilnehmende - Starters'!$C:$Z,D$11,0))-1),
VLOOKUP($A44,'Teilnehmende - Starters'!$C:$Z,D$11,0))))</f>
        <v/>
      </c>
      <c r="E44" s="1" t="str">
        <f>IF($A44="","",IF(VLOOKUP($A44,'Teilnehmende - Starters'!$C:$Z,E$11,0)="","",
IF(RIGHT(VLOOKUP($A44,'Teilnehmende - Starters'!$C:$Z,E$11,0),1)=" ",LEFT(VLOOKUP($A44,'Teilnehmende - Starters'!$C:$Z,E$11,0),LEN(VLOOKUP($A44,'Teilnehmende - Starters'!$C:$Z,E$11,0))-1),
VLOOKUP($A44,'Teilnehmende - Starters'!$C:$Z,E$11,0))))</f>
        <v/>
      </c>
      <c r="F44" s="72" t="str">
        <f>IF($A44="","",IF(VLOOKUP($A44,'Teilnehmende - Starters'!$C:$Z,F$11,0)="","",VLOOKUP($A44,'Teilnehmende - Starters'!$C:$Z,F$11,0)))</f>
        <v/>
      </c>
      <c r="G44" s="1" t="str">
        <f>IF($A44="","",IF(VLOOKUP($A44,'Teilnehmende - Starters'!$C:$Z,G$11,0)="","",VLOOKUP($A44,'Teilnehmende - Starters'!$C:$Z,G$11,0)))</f>
        <v/>
      </c>
      <c r="H44" s="1" t="str">
        <f>IF($A44="","",IF(VLOOKUP($A44,'Teilnehmende - Starters'!$C:$Z,H$11,0)="","",VLOOKUP($A44,'Teilnehmende - Starters'!$C:$Z,H$11,0)))</f>
        <v/>
      </c>
      <c r="I44" s="1" t="str">
        <f>IF($A44="","",IF(VLOOKUP($A44,'Teilnehmende - Starters'!$C:$Z,I$11,0)="","",VLOOKUP($A44,'Teilnehmende - Starters'!$C:$Z,I$11,0)))</f>
        <v/>
      </c>
      <c r="J44" s="1" t="str">
        <f>IF($A44="","",IF(VLOOKUP($A44,'Teilnehmende - Starters'!$C:$Z,J$11,0)="","",VLOOKUP($A44,'Teilnehmende - Starters'!$C:$Z,J$11,0)))</f>
        <v/>
      </c>
      <c r="K44" s="1" t="str">
        <f>IF($A44="","",IF(VLOOKUP($A44,'Teilnehmende - Starters'!$C:$Z,K$11,0)="","",VLOOKUP($A44,'Teilnehmende - Starters'!$C:$Z,K$11,0)))</f>
        <v/>
      </c>
      <c r="L44" s="1" t="str">
        <f>IF($A44="","",IF(VLOOKUP($A44,'Teilnehmende - Starters'!$C:$Z,L$11,0)="","",VLOOKUP($A44,'Teilnehmende - Starters'!$C:$Z,L$11,0)))</f>
        <v/>
      </c>
      <c r="M44" s="1" t="str">
        <f>IF($A44="","",IF(VLOOKUP($A44,'Teilnehmende - Starters'!$C:$Z,M$11,0)="","",VLOOKUP($A44,'Teilnehmende - Starters'!$C:$Z,M$11,0)))</f>
        <v/>
      </c>
      <c r="N44" s="17"/>
      <c r="O44" s="1" t="str">
        <f>IF(ISERROR(SMALL('Teilnehmende - Starters'!$D$81:$D$156,ROW(A30))),"",SMALL('Teilnehmende - Starters'!$D$81:$D$156,ROW(A30)))</f>
        <v/>
      </c>
      <c r="P44" s="1" t="str">
        <f>IF($O44="","",IF(VLOOKUP($O44,'Teilnehmende - Starters'!$D:$Z,P$11,0)="","",
IF(RIGHT(VLOOKUP($O44,'Teilnehmende - Starters'!$D:$Z,P$11,0),1)=" ",LEFT(VLOOKUP($O44,'Teilnehmende - Starters'!$D:$Z,P$11,0),LEN(VLOOKUP($O44,'Teilnehmende - Starters'!$D:$Z,P$11,0))-1),
VLOOKUP($O44,'Teilnehmende - Starters'!$D:$Z,P$11,0))))</f>
        <v/>
      </c>
      <c r="Q44" s="1" t="str">
        <f>IF($O44="","",IF(VLOOKUP($O44,'Teilnehmende - Starters'!$D:$Z,Q$11,0)="","",
IF(RIGHT(VLOOKUP($O44,'Teilnehmende - Starters'!$D:$Z,Q$11,0),1)=" ",LEFT(VLOOKUP($O44,'Teilnehmende - Starters'!$D:$Z,Q$11,0),LEN(VLOOKUP($O44,'Teilnehmende - Starters'!$D:$Z,Q$11,0))-1),
VLOOKUP($O44,'Teilnehmende - Starters'!$D:$Z,Q$11,0))))</f>
        <v/>
      </c>
      <c r="R44" s="1" t="str">
        <f t="shared" si="19"/>
        <v/>
      </c>
      <c r="S44" s="1" t="str">
        <f>IF($O44="","",IF(VLOOKUP($O44,'Teilnehmende - Starters'!$D:$Z,S$11,0)="","",VLOOKUP($O44,'Teilnehmende - Starters'!$D:$Z,S$11,0)))</f>
        <v/>
      </c>
      <c r="T44" s="1" t="str">
        <f>IF($O44="","",IF(VLOOKUP($O44,'Teilnehmende - Starters'!$D:$Z,T$11,0)="","",VLOOKUP($O44,'Teilnehmende - Starters'!$D:$Z,T$11,0)))</f>
        <v/>
      </c>
      <c r="U44" s="1" t="str">
        <f>IF($O44="","",IF(VLOOKUP(O44,'Teilnehmende - Starters'!$C:$I,7,0)="w",IF(OR(S44=20,S44=19),"DE","ME"),IF(OR(S44=20,S44=19),"HE","JE")))</f>
        <v/>
      </c>
      <c r="V44" s="1" t="str">
        <f t="shared" si="20"/>
        <v/>
      </c>
      <c r="W44" s="17"/>
      <c r="X44" s="1" t="str">
        <f>IF(ISERROR(SMALL('Teilnehmende - Starters'!$E$81:$E$156,ROW(A30))),"",SMALL('Teilnehmende - Starters'!$E$81:$E$156,ROW(A30)))</f>
        <v/>
      </c>
      <c r="Y44" s="1" t="str">
        <f>IF(X44="","",VLOOKUP(X44,'Teilnehmende - Starters'!$C:$Z,5,0)&amp;" "&amp;VLOOKUP(X44,'Teilnehmende - Starters'!$C:$Z,6,0))</f>
        <v/>
      </c>
      <c r="Z44" s="1" t="str">
        <f t="shared" si="21"/>
        <v/>
      </c>
      <c r="AA44" s="1" t="str">
        <f>IF(X44="","",IF(VLOOKUP(X44,'Teilnehmende - Starters'!$C:$Z,18,0)="Freimeldung",$A$2*100+99,VLOOKUP(Y44,'Teilnehmende - Starters'!$AA$5:$AD$80,4,FALSE)))</f>
        <v/>
      </c>
      <c r="AB44" s="1" t="str">
        <f>IF(AA44="","",IF(VLOOKUP(X44,'Teilnehmende - Starters'!$C:$Z,18,0)="Freimeldung","Freimeldung",VLOOKUP(AA44,$A$15:$E$77,4,0)&amp;" "&amp;VLOOKUP(AA44,$A$15:$E$77,5,0)))</f>
        <v/>
      </c>
      <c r="AC44" s="1" t="str">
        <f>IF(AA44="","",IF(VLOOKUP(X44,'Teilnehmende - Starters'!$C:$Z,18,0)="Freimeldung","",VLOOKUP(AA44,$A$15:$C$77,3,0)))</f>
        <v/>
      </c>
      <c r="AD44" s="1" t="str">
        <f>IF($X44="","",IF(VLOOKUP($X44,'Teilnehmende - Starters'!$C:$Z,AD$11,0)="","",VLOOKUP($X44,'Teilnehmende - Starters'!$C:$Z,AD$11,0)))</f>
        <v/>
      </c>
      <c r="AE44" s="1" t="str">
        <f>IF($X44="","",IF(VLOOKUP($X44,'Teilnehmende - Starters'!$C:$Z,AE$11,0)="","",VLOOKUP($X44,'Teilnehmende - Starters'!$C:$Z,AE$11,0)))</f>
        <v/>
      </c>
      <c r="AF44" s="1" t="str">
        <f>IF($X44="","",IF(VLOOKUP(X44,'Teilnehmende - Starters'!$C:$I,7,0)="w",IF(OR(AD44=20,AD44=19),"DD","MD"),IF(OR(AD44=20,AD44=19),"HD","JD")))</f>
        <v/>
      </c>
      <c r="AG44" s="1" t="str">
        <f t="shared" si="22"/>
        <v/>
      </c>
      <c r="AH44" s="17"/>
      <c r="AI44" s="1" t="str">
        <f>IF(ISERROR(SMALL('Teilnehmende - Starters'!$F$81:$F$156,ROW(#REF!))),"",SMALL('Teilnehmende - Starters'!$F$81:$F$156,ROW(#REF!)))</f>
        <v/>
      </c>
      <c r="AJ44" s="1" t="str">
        <f>IF(AI44="","",VLOOKUP(AI44,'Teilnehmende - Starters'!$C:$Z,5,0)&amp;" "&amp;VLOOKUP(AI44,'Teilnehmende - Starters'!$C:$Z,6,0))</f>
        <v/>
      </c>
      <c r="AK44" s="1" t="str">
        <f t="shared" si="23"/>
        <v/>
      </c>
      <c r="AL44" s="1" t="str">
        <f>IF(AI44="","",IF(VLOOKUP(AI44,'Teilnehmende - Starters'!$C:$AN,21,0)="Freimeldung",$A$2*100+99,VLOOKUP(AJ44,'Teilnehmende - Starters'!$AB$5:$AD$80,3,FALSE)))</f>
        <v/>
      </c>
      <c r="AM44" s="1" t="str">
        <f>IF(AL44="","",IF(VLOOKUP(AI44,'Teilnehmende - Starters'!$C:$Z,21,0)="Freimeldung","Freimeldung",VLOOKUP(AL44,$A$15:$E$77,4,0)&amp;" "&amp;VLOOKUP(AL44,$A$15:$E$77,5,0)))</f>
        <v/>
      </c>
      <c r="AN44" s="1" t="str">
        <f>IF(AL44="","",IF(VLOOKUP(AI44,'Teilnehmende - Starters'!$C:$Z,21,0)="Freimeldung","",VLOOKUP(AL44,$A$15:$C$77,3,0)))</f>
        <v/>
      </c>
      <c r="AO44" s="1" t="str">
        <f>IF($AI44="","",IF(VLOOKUP($AI44,'Teilnehmende - Starters'!$C:$Z,AO$11,0)="","",VLOOKUP($AI44,'Teilnehmende - Starters'!$C:$Z,AO$11,0)))</f>
        <v/>
      </c>
      <c r="AP44" s="1" t="str">
        <f>IF($AI44="","",IF(VLOOKUP($AI44,'Teilnehmende - Starters'!$C:$Z,AP$11,0)="","",VLOOKUP($AI44,'Teilnehmende - Starters'!$C:$Z,AP$11,0)))</f>
        <v/>
      </c>
      <c r="AQ44" s="1" t="str">
        <f t="shared" si="17"/>
        <v/>
      </c>
      <c r="AR44" s="1" t="str">
        <f t="shared" si="24"/>
        <v/>
      </c>
    </row>
    <row r="45" spans="1:44" x14ac:dyDescent="0.3">
      <c r="A45" s="1" t="str">
        <f>IF(ISERROR(SMALL('Teilnehmende - Starters'!$C$81:$C$156,ROW(A31))),"",SMALL('Teilnehmende - Starters'!$C$81:$C$156,ROW(A31)))</f>
        <v/>
      </c>
      <c r="B45" s="1" t="str">
        <f>IF($A45="","",IF(VLOOKUP($A45,'Teilnehmende - Starters'!$C:$Z,B$11,0)="","",SUBSTITUTE(VLOOKUP($A45,'Teilnehmende - Starters'!$C:$Z,B$11,0)," ","")))</f>
        <v/>
      </c>
      <c r="C45" s="1" t="str">
        <f>IF(A45="","",VLOOKUP(INT(A45/100),'Vereine - Clubs'!$C:$H,4,0))</f>
        <v/>
      </c>
      <c r="D45" s="1" t="str">
        <f>IF($A45="","",IF(VLOOKUP($A45,'Teilnehmende - Starters'!$C:$Z,D$11,0)="","",
IF(RIGHT(VLOOKUP($A45,'Teilnehmende - Starters'!$C:$Z,D$11,0),1)=" ",LEFT(VLOOKUP($A45,'Teilnehmende - Starters'!$C:$Z,D$11,0),LEN(VLOOKUP($A45,'Teilnehmende - Starters'!$C:$Z,D$11,0))-1),
VLOOKUP($A45,'Teilnehmende - Starters'!$C:$Z,D$11,0))))</f>
        <v/>
      </c>
      <c r="E45" s="1" t="str">
        <f>IF($A45="","",IF(VLOOKUP($A45,'Teilnehmende - Starters'!$C:$Z,E$11,0)="","",
IF(RIGHT(VLOOKUP($A45,'Teilnehmende - Starters'!$C:$Z,E$11,0),1)=" ",LEFT(VLOOKUP($A45,'Teilnehmende - Starters'!$C:$Z,E$11,0),LEN(VLOOKUP($A45,'Teilnehmende - Starters'!$C:$Z,E$11,0))-1),
VLOOKUP($A45,'Teilnehmende - Starters'!$C:$Z,E$11,0))))</f>
        <v/>
      </c>
      <c r="F45" s="72" t="str">
        <f>IF($A45="","",IF(VLOOKUP($A45,'Teilnehmende - Starters'!$C:$Z,F$11,0)="","",VLOOKUP($A45,'Teilnehmende - Starters'!$C:$Z,F$11,0)))</f>
        <v/>
      </c>
      <c r="G45" s="1" t="str">
        <f>IF($A45="","",IF(VLOOKUP($A45,'Teilnehmende - Starters'!$C:$Z,G$11,0)="","",VLOOKUP($A45,'Teilnehmende - Starters'!$C:$Z,G$11,0)))</f>
        <v/>
      </c>
      <c r="H45" s="1" t="str">
        <f>IF($A45="","",IF(VLOOKUP($A45,'Teilnehmende - Starters'!$C:$Z,H$11,0)="","",VLOOKUP($A45,'Teilnehmende - Starters'!$C:$Z,H$11,0)))</f>
        <v/>
      </c>
      <c r="I45" s="1" t="str">
        <f>IF($A45="","",IF(VLOOKUP($A45,'Teilnehmende - Starters'!$C:$Z,I$11,0)="","",VLOOKUP($A45,'Teilnehmende - Starters'!$C:$Z,I$11,0)))</f>
        <v/>
      </c>
      <c r="J45" s="1" t="str">
        <f>IF($A45="","",IF(VLOOKUP($A45,'Teilnehmende - Starters'!$C:$Z,J$11,0)="","",VLOOKUP($A45,'Teilnehmende - Starters'!$C:$Z,J$11,0)))</f>
        <v/>
      </c>
      <c r="K45" s="1" t="str">
        <f>IF($A45="","",IF(VLOOKUP($A45,'Teilnehmende - Starters'!$C:$Z,K$11,0)="","",VLOOKUP($A45,'Teilnehmende - Starters'!$C:$Z,K$11,0)))</f>
        <v/>
      </c>
      <c r="L45" s="1" t="str">
        <f>IF($A45="","",IF(VLOOKUP($A45,'Teilnehmende - Starters'!$C:$Z,L$11,0)="","",VLOOKUP($A45,'Teilnehmende - Starters'!$C:$Z,L$11,0)))</f>
        <v/>
      </c>
      <c r="M45" s="1" t="str">
        <f>IF($A45="","",IF(VLOOKUP($A45,'Teilnehmende - Starters'!$C:$Z,M$11,0)="","",VLOOKUP($A45,'Teilnehmende - Starters'!$C:$Z,M$11,0)))</f>
        <v/>
      </c>
      <c r="N45" s="17"/>
      <c r="O45" s="1" t="str">
        <f>IF(ISERROR(SMALL('Teilnehmende - Starters'!$D$81:$D$156,ROW(A31))),"",SMALL('Teilnehmende - Starters'!$D$81:$D$156,ROW(A31)))</f>
        <v/>
      </c>
      <c r="P45" s="1" t="str">
        <f>IF($O45="","",IF(VLOOKUP($O45,'Teilnehmende - Starters'!$D:$Z,P$11,0)="","",
IF(RIGHT(VLOOKUP($O45,'Teilnehmende - Starters'!$D:$Z,P$11,0),1)=" ",LEFT(VLOOKUP($O45,'Teilnehmende - Starters'!$D:$Z,P$11,0),LEN(VLOOKUP($O45,'Teilnehmende - Starters'!$D:$Z,P$11,0))-1),
VLOOKUP($O45,'Teilnehmende - Starters'!$D:$Z,P$11,0))))</f>
        <v/>
      </c>
      <c r="Q45" s="1" t="str">
        <f>IF($O45="","",IF(VLOOKUP($O45,'Teilnehmende - Starters'!$D:$Z,Q$11,0)="","",
IF(RIGHT(VLOOKUP($O45,'Teilnehmende - Starters'!$D:$Z,Q$11,0),1)=" ",LEFT(VLOOKUP($O45,'Teilnehmende - Starters'!$D:$Z,Q$11,0),LEN(VLOOKUP($O45,'Teilnehmende - Starters'!$D:$Z,Q$11,0))-1),
VLOOKUP($O45,'Teilnehmende - Starters'!$D:$Z,Q$11,0))))</f>
        <v/>
      </c>
      <c r="R45" s="1" t="str">
        <f t="shared" si="19"/>
        <v/>
      </c>
      <c r="S45" s="1" t="str">
        <f>IF($O45="","",IF(VLOOKUP($O45,'Teilnehmende - Starters'!$D:$Z,S$11,0)="","",VLOOKUP($O45,'Teilnehmende - Starters'!$D:$Z,S$11,0)))</f>
        <v/>
      </c>
      <c r="T45" s="1" t="str">
        <f>IF($O45="","",IF(VLOOKUP($O45,'Teilnehmende - Starters'!$D:$Z,T$11,0)="","",VLOOKUP($O45,'Teilnehmende - Starters'!$D:$Z,T$11,0)))</f>
        <v/>
      </c>
      <c r="U45" s="1" t="str">
        <f>IF($O45="","",IF(VLOOKUP(O45,'Teilnehmende - Starters'!$C:$I,7,0)="w",IF(OR(S45=20,S45=19),"DE","ME"),IF(OR(S45=20,S45=19),"HE","JE")))</f>
        <v/>
      </c>
      <c r="V45" s="1" t="str">
        <f t="shared" si="20"/>
        <v/>
      </c>
      <c r="W45" s="17"/>
      <c r="X45" s="1" t="str">
        <f>IF(ISERROR(SMALL('Teilnehmende - Starters'!$E$81:$E$156,ROW(A31))),"",SMALL('Teilnehmende - Starters'!$E$81:$E$156,ROW(A31)))</f>
        <v/>
      </c>
      <c r="Y45" s="1" t="str">
        <f>IF(X45="","",VLOOKUP(X45,'Teilnehmende - Starters'!$C:$Z,5,0)&amp;" "&amp;VLOOKUP(X45,'Teilnehmende - Starters'!$C:$Z,6,0))</f>
        <v/>
      </c>
      <c r="Z45" s="1" t="str">
        <f t="shared" si="21"/>
        <v/>
      </c>
      <c r="AA45" s="1" t="str">
        <f>IF(X45="","",IF(VLOOKUP(X45,'Teilnehmende - Starters'!$C:$Z,18,0)="Freimeldung",$A$2*100+99,VLOOKUP(Y45,'Teilnehmende - Starters'!$AA$5:$AD$80,4,FALSE)))</f>
        <v/>
      </c>
      <c r="AB45" s="1" t="str">
        <f>IF(AA45="","",IF(VLOOKUP(X45,'Teilnehmende - Starters'!$C:$Z,18,0)="Freimeldung","Freimeldung",VLOOKUP(AA45,$A$15:$E$77,4,0)&amp;" "&amp;VLOOKUP(AA45,$A$15:$E$77,5,0)))</f>
        <v/>
      </c>
      <c r="AC45" s="1" t="str">
        <f>IF(AA45="","",IF(VLOOKUP(X45,'Teilnehmende - Starters'!$C:$Z,18,0)="Freimeldung","",VLOOKUP(AA45,$A$15:$C$77,3,0)))</f>
        <v/>
      </c>
      <c r="AD45" s="1" t="str">
        <f>IF($X45="","",IF(VLOOKUP($X45,'Teilnehmende - Starters'!$C:$Z,AD$11,0)="","",VLOOKUP($X45,'Teilnehmende - Starters'!$C:$Z,AD$11,0)))</f>
        <v/>
      </c>
      <c r="AE45" s="1" t="str">
        <f>IF($X45="","",IF(VLOOKUP($X45,'Teilnehmende - Starters'!$C:$Z,AE$11,0)="","",VLOOKUP($X45,'Teilnehmende - Starters'!$C:$Z,AE$11,0)))</f>
        <v/>
      </c>
      <c r="AF45" s="1" t="str">
        <f>IF($X45="","",IF(VLOOKUP(X45,'Teilnehmende - Starters'!$C:$I,7,0)="w",IF(OR(AD45=20,AD45=19),"DD","MD"),IF(OR(AD45=20,AD45=19),"HD","JD")))</f>
        <v/>
      </c>
      <c r="AG45" s="1" t="str">
        <f t="shared" si="22"/>
        <v/>
      </c>
      <c r="AH45" s="17"/>
      <c r="AI45" s="1" t="str">
        <f>IF(ISERROR(SMALL('Teilnehmende - Starters'!$F$81:$F$156,ROW(#REF!))),"",SMALL('Teilnehmende - Starters'!$F$81:$F$156,ROW(#REF!)))</f>
        <v/>
      </c>
      <c r="AJ45" s="1" t="str">
        <f>IF(AI45="","",VLOOKUP(AI45,'Teilnehmende - Starters'!$C:$Z,5,0)&amp;" "&amp;VLOOKUP(AI45,'Teilnehmende - Starters'!$C:$Z,6,0))</f>
        <v/>
      </c>
      <c r="AK45" s="1" t="str">
        <f t="shared" si="23"/>
        <v/>
      </c>
      <c r="AL45" s="1" t="str">
        <f>IF(AI45="","",IF(VLOOKUP(AI45,'Teilnehmende - Starters'!$C:$AN,21,0)="Freimeldung",$A$2*100+99,VLOOKUP(AJ45,'Teilnehmende - Starters'!$AB$5:$AD$80,3,FALSE)))</f>
        <v/>
      </c>
      <c r="AM45" s="1" t="str">
        <f>IF(AL45="","",IF(VLOOKUP(AI45,'Teilnehmende - Starters'!$C:$Z,21,0)="Freimeldung","Freimeldung",VLOOKUP(AL45,$A$15:$E$77,4,0)&amp;" "&amp;VLOOKUP(AL45,$A$15:$E$77,5,0)))</f>
        <v/>
      </c>
      <c r="AN45" s="1" t="str">
        <f>IF(AL45="","",IF(VLOOKUP(AI45,'Teilnehmende - Starters'!$C:$Z,21,0)="Freimeldung","",VLOOKUP(AL45,$A$15:$C$77,3,0)))</f>
        <v/>
      </c>
      <c r="AO45" s="1" t="str">
        <f>IF($AI45="","",IF(VLOOKUP($AI45,'Teilnehmende - Starters'!$C:$Z,AO$11,0)="","",VLOOKUP($AI45,'Teilnehmende - Starters'!$C:$Z,AO$11,0)))</f>
        <v/>
      </c>
      <c r="AP45" s="1" t="str">
        <f>IF($AI45="","",IF(VLOOKUP($AI45,'Teilnehmende - Starters'!$C:$Z,AP$11,0)="","",VLOOKUP($AI45,'Teilnehmende - Starters'!$C:$Z,AP$11,0)))</f>
        <v/>
      </c>
      <c r="AQ45" s="1" t="str">
        <f t="shared" si="17"/>
        <v/>
      </c>
      <c r="AR45" s="1" t="str">
        <f t="shared" si="24"/>
        <v/>
      </c>
    </row>
    <row r="46" spans="1:44" x14ac:dyDescent="0.3">
      <c r="A46" s="1" t="str">
        <f>IF(ISERROR(SMALL('Teilnehmende - Starters'!$C$81:$C$156,ROW(A32))),"",SMALL('Teilnehmende - Starters'!$C$81:$C$156,ROW(A32)))</f>
        <v/>
      </c>
      <c r="B46" s="1" t="str">
        <f>IF($A46="","",IF(VLOOKUP($A46,'Teilnehmende - Starters'!$C:$Z,B$11,0)="","",SUBSTITUTE(VLOOKUP($A46,'Teilnehmende - Starters'!$C:$Z,B$11,0)," ","")))</f>
        <v/>
      </c>
      <c r="C46" s="1" t="str">
        <f>IF(A46="","",VLOOKUP(INT(A46/100),'Vereine - Clubs'!$C:$H,4,0))</f>
        <v/>
      </c>
      <c r="D46" s="1" t="str">
        <f>IF($A46="","",IF(VLOOKUP($A46,'Teilnehmende - Starters'!$C:$Z,D$11,0)="","",
IF(RIGHT(VLOOKUP($A46,'Teilnehmende - Starters'!$C:$Z,D$11,0),1)=" ",LEFT(VLOOKUP($A46,'Teilnehmende - Starters'!$C:$Z,D$11,0),LEN(VLOOKUP($A46,'Teilnehmende - Starters'!$C:$Z,D$11,0))-1),
VLOOKUP($A46,'Teilnehmende - Starters'!$C:$Z,D$11,0))))</f>
        <v/>
      </c>
      <c r="E46" s="1" t="str">
        <f>IF($A46="","",IF(VLOOKUP($A46,'Teilnehmende - Starters'!$C:$Z,E$11,0)="","",
IF(RIGHT(VLOOKUP($A46,'Teilnehmende - Starters'!$C:$Z,E$11,0),1)=" ",LEFT(VLOOKUP($A46,'Teilnehmende - Starters'!$C:$Z,E$11,0),LEN(VLOOKUP($A46,'Teilnehmende - Starters'!$C:$Z,E$11,0))-1),
VLOOKUP($A46,'Teilnehmende - Starters'!$C:$Z,E$11,0))))</f>
        <v/>
      </c>
      <c r="F46" s="72" t="str">
        <f>IF($A46="","",IF(VLOOKUP($A46,'Teilnehmende - Starters'!$C:$Z,F$11,0)="","",VLOOKUP($A46,'Teilnehmende - Starters'!$C:$Z,F$11,0)))</f>
        <v/>
      </c>
      <c r="G46" s="1" t="str">
        <f>IF($A46="","",IF(VLOOKUP($A46,'Teilnehmende - Starters'!$C:$Z,G$11,0)="","",VLOOKUP($A46,'Teilnehmende - Starters'!$C:$Z,G$11,0)))</f>
        <v/>
      </c>
      <c r="H46" s="1" t="str">
        <f>IF($A46="","",IF(VLOOKUP($A46,'Teilnehmende - Starters'!$C:$Z,H$11,0)="","",VLOOKUP($A46,'Teilnehmende - Starters'!$C:$Z,H$11,0)))</f>
        <v/>
      </c>
      <c r="I46" s="1" t="str">
        <f>IF($A46="","",IF(VLOOKUP($A46,'Teilnehmende - Starters'!$C:$Z,I$11,0)="","",VLOOKUP($A46,'Teilnehmende - Starters'!$C:$Z,I$11,0)))</f>
        <v/>
      </c>
      <c r="J46" s="1" t="str">
        <f>IF($A46="","",IF(VLOOKUP($A46,'Teilnehmende - Starters'!$C:$Z,J$11,0)="","",VLOOKUP($A46,'Teilnehmende - Starters'!$C:$Z,J$11,0)))</f>
        <v/>
      </c>
      <c r="K46" s="1" t="str">
        <f>IF($A46="","",IF(VLOOKUP($A46,'Teilnehmende - Starters'!$C:$Z,K$11,0)="","",VLOOKUP($A46,'Teilnehmende - Starters'!$C:$Z,K$11,0)))</f>
        <v/>
      </c>
      <c r="L46" s="1" t="str">
        <f>IF($A46="","",IF(VLOOKUP($A46,'Teilnehmende - Starters'!$C:$Z,L$11,0)="","",VLOOKUP($A46,'Teilnehmende - Starters'!$C:$Z,L$11,0)))</f>
        <v/>
      </c>
      <c r="M46" s="1" t="str">
        <f>IF($A46="","",IF(VLOOKUP($A46,'Teilnehmende - Starters'!$C:$Z,M$11,0)="","",VLOOKUP($A46,'Teilnehmende - Starters'!$C:$Z,M$11,0)))</f>
        <v/>
      </c>
      <c r="N46" s="17"/>
      <c r="O46" s="1" t="str">
        <f>IF(ISERROR(SMALL('Teilnehmende - Starters'!$D$81:$D$156,ROW(A32))),"",SMALL('Teilnehmende - Starters'!$D$81:$D$156,ROW(A32)))</f>
        <v/>
      </c>
      <c r="P46" s="1" t="str">
        <f>IF($O46="","",IF(VLOOKUP($O46,'Teilnehmende - Starters'!$D:$Z,P$11,0)="","",
IF(RIGHT(VLOOKUP($O46,'Teilnehmende - Starters'!$D:$Z,P$11,0),1)=" ",LEFT(VLOOKUP($O46,'Teilnehmende - Starters'!$D:$Z,P$11,0),LEN(VLOOKUP($O46,'Teilnehmende - Starters'!$D:$Z,P$11,0))-1),
VLOOKUP($O46,'Teilnehmende - Starters'!$D:$Z,P$11,0))))</f>
        <v/>
      </c>
      <c r="Q46" s="1" t="str">
        <f>IF($O46="","",IF(VLOOKUP($O46,'Teilnehmende - Starters'!$D:$Z,Q$11,0)="","",
IF(RIGHT(VLOOKUP($O46,'Teilnehmende - Starters'!$D:$Z,Q$11,0),1)=" ",LEFT(VLOOKUP($O46,'Teilnehmende - Starters'!$D:$Z,Q$11,0),LEN(VLOOKUP($O46,'Teilnehmende - Starters'!$D:$Z,Q$11,0))-1),
VLOOKUP($O46,'Teilnehmende - Starters'!$D:$Z,Q$11,0))))</f>
        <v/>
      </c>
      <c r="R46" s="1" t="str">
        <f t="shared" si="19"/>
        <v/>
      </c>
      <c r="S46" s="1" t="str">
        <f>IF($O46="","",IF(VLOOKUP($O46,'Teilnehmende - Starters'!$D:$Z,S$11,0)="","",VLOOKUP($O46,'Teilnehmende - Starters'!$D:$Z,S$11,0)))</f>
        <v/>
      </c>
      <c r="T46" s="1" t="str">
        <f>IF($O46="","",IF(VLOOKUP($O46,'Teilnehmende - Starters'!$D:$Z,T$11,0)="","",VLOOKUP($O46,'Teilnehmende - Starters'!$D:$Z,T$11,0)))</f>
        <v/>
      </c>
      <c r="U46" s="1" t="str">
        <f>IF($O46="","",IF(VLOOKUP(O46,'Teilnehmende - Starters'!$C:$I,7,0)="w",IF(OR(S46=20,S46=19),"DE","ME"),IF(OR(S46=20,S46=19),"HE","JE")))</f>
        <v/>
      </c>
      <c r="V46" s="1" t="str">
        <f t="shared" si="20"/>
        <v/>
      </c>
      <c r="W46" s="17"/>
      <c r="X46" s="1" t="str">
        <f>IF(ISERROR(SMALL('Teilnehmende - Starters'!$E$81:$E$156,ROW(A32))),"",SMALL('Teilnehmende - Starters'!$E$81:$E$156,ROW(A32)))</f>
        <v/>
      </c>
      <c r="Y46" s="1" t="str">
        <f>IF(X46="","",VLOOKUP(X46,'Teilnehmende - Starters'!$C:$Z,5,0)&amp;" "&amp;VLOOKUP(X46,'Teilnehmende - Starters'!$C:$Z,6,0))</f>
        <v/>
      </c>
      <c r="Z46" s="1" t="str">
        <f t="shared" si="21"/>
        <v/>
      </c>
      <c r="AA46" s="1" t="str">
        <f>IF(X46="","",IF(VLOOKUP(X46,'Teilnehmende - Starters'!$C:$Z,18,0)="Freimeldung",$A$2*100+99,VLOOKUP(Y46,'Teilnehmende - Starters'!$AA$5:$AD$80,4,FALSE)))</f>
        <v/>
      </c>
      <c r="AB46" s="1" t="str">
        <f>IF(AA46="","",IF(VLOOKUP(X46,'Teilnehmende - Starters'!$C:$Z,18,0)="Freimeldung","Freimeldung",VLOOKUP(AA46,$A$15:$E$77,4,0)&amp;" "&amp;VLOOKUP(AA46,$A$15:$E$77,5,0)))</f>
        <v/>
      </c>
      <c r="AC46" s="1" t="str">
        <f>IF(AA46="","",IF(VLOOKUP(X46,'Teilnehmende - Starters'!$C:$Z,18,0)="Freimeldung","",VLOOKUP(AA46,$A$15:$C$77,3,0)))</f>
        <v/>
      </c>
      <c r="AD46" s="1" t="str">
        <f>IF($X46="","",IF(VLOOKUP($X46,'Teilnehmende - Starters'!$C:$Z,AD$11,0)="","",VLOOKUP($X46,'Teilnehmende - Starters'!$C:$Z,AD$11,0)))</f>
        <v/>
      </c>
      <c r="AE46" s="1" t="str">
        <f>IF($X46="","",IF(VLOOKUP($X46,'Teilnehmende - Starters'!$C:$Z,AE$11,0)="","",VLOOKUP($X46,'Teilnehmende - Starters'!$C:$Z,AE$11,0)))</f>
        <v/>
      </c>
      <c r="AF46" s="1" t="str">
        <f>IF($X46="","",IF(VLOOKUP(X46,'Teilnehmende - Starters'!$C:$I,7,0)="w",IF(OR(AD46=20,AD46=19),"DD","MD"),IF(OR(AD46=20,AD46=19),"HD","JD")))</f>
        <v/>
      </c>
      <c r="AG46" s="1" t="str">
        <f t="shared" si="22"/>
        <v/>
      </c>
      <c r="AH46" s="17"/>
      <c r="AI46" s="1" t="str">
        <f>IF(ISERROR(SMALL('Teilnehmende - Starters'!$F$81:$F$156,ROW(#REF!))),"",SMALL('Teilnehmende - Starters'!$F$81:$F$156,ROW(#REF!)))</f>
        <v/>
      </c>
      <c r="AJ46" s="1" t="str">
        <f>IF(AI46="","",VLOOKUP(AI46,'Teilnehmende - Starters'!$C:$Z,5,0)&amp;" "&amp;VLOOKUP(AI46,'Teilnehmende - Starters'!$C:$Z,6,0))</f>
        <v/>
      </c>
      <c r="AK46" s="1" t="str">
        <f t="shared" si="23"/>
        <v/>
      </c>
      <c r="AL46" s="1" t="str">
        <f>IF(AI46="","",IF(VLOOKUP(AI46,'Teilnehmende - Starters'!$C:$AN,21,0)="Freimeldung",$A$2*100+99,VLOOKUP(AJ46,'Teilnehmende - Starters'!$AB$5:$AD$80,3,FALSE)))</f>
        <v/>
      </c>
      <c r="AM46" s="1" t="str">
        <f>IF(AL46="","",IF(VLOOKUP(AI46,'Teilnehmende - Starters'!$C:$Z,21,0)="Freimeldung","Freimeldung",VLOOKUP(AL46,$A$15:$E$77,4,0)&amp;" "&amp;VLOOKUP(AL46,$A$15:$E$77,5,0)))</f>
        <v/>
      </c>
      <c r="AN46" s="1" t="str">
        <f>IF(AL46="","",IF(VLOOKUP(AI46,'Teilnehmende - Starters'!$C:$Z,21,0)="Freimeldung","",VLOOKUP(AL46,$A$15:$C$77,3,0)))</f>
        <v/>
      </c>
      <c r="AO46" s="1" t="str">
        <f>IF($AI46="","",IF(VLOOKUP($AI46,'Teilnehmende - Starters'!$C:$Z,AO$11,0)="","",VLOOKUP($AI46,'Teilnehmende - Starters'!$C:$Z,AO$11,0)))</f>
        <v/>
      </c>
      <c r="AP46" s="1" t="str">
        <f>IF($AI46="","",IF(VLOOKUP($AI46,'Teilnehmende - Starters'!$C:$Z,AP$11,0)="","",VLOOKUP($AI46,'Teilnehmende - Starters'!$C:$Z,AP$11,0)))</f>
        <v/>
      </c>
      <c r="AQ46" s="1" t="str">
        <f t="shared" si="17"/>
        <v/>
      </c>
      <c r="AR46" s="1" t="str">
        <f t="shared" si="24"/>
        <v/>
      </c>
    </row>
    <row r="47" spans="1:44" x14ac:dyDescent="0.3">
      <c r="A47" s="1" t="str">
        <f>IF(ISERROR(SMALL('Teilnehmende - Starters'!$C$81:$C$156,ROW(A33))),"",SMALL('Teilnehmende - Starters'!$C$81:$C$156,ROW(A33)))</f>
        <v/>
      </c>
      <c r="B47" s="1" t="str">
        <f>IF($A47="","",IF(VLOOKUP($A47,'Teilnehmende - Starters'!$C:$Z,B$11,0)="","",SUBSTITUTE(VLOOKUP($A47,'Teilnehmende - Starters'!$C:$Z,B$11,0)," ","")))</f>
        <v/>
      </c>
      <c r="C47" s="1" t="str">
        <f>IF(A47="","",VLOOKUP(INT(A47/100),'Vereine - Clubs'!$C:$H,4,0))</f>
        <v/>
      </c>
      <c r="D47" s="1" t="str">
        <f>IF($A47="","",IF(VLOOKUP($A47,'Teilnehmende - Starters'!$C:$Z,D$11,0)="","",
IF(RIGHT(VLOOKUP($A47,'Teilnehmende - Starters'!$C:$Z,D$11,0),1)=" ",LEFT(VLOOKUP($A47,'Teilnehmende - Starters'!$C:$Z,D$11,0),LEN(VLOOKUP($A47,'Teilnehmende - Starters'!$C:$Z,D$11,0))-1),
VLOOKUP($A47,'Teilnehmende - Starters'!$C:$Z,D$11,0))))</f>
        <v/>
      </c>
      <c r="E47" s="1" t="str">
        <f>IF($A47="","",IF(VLOOKUP($A47,'Teilnehmende - Starters'!$C:$Z,E$11,0)="","",
IF(RIGHT(VLOOKUP($A47,'Teilnehmende - Starters'!$C:$Z,E$11,0),1)=" ",LEFT(VLOOKUP($A47,'Teilnehmende - Starters'!$C:$Z,E$11,0),LEN(VLOOKUP($A47,'Teilnehmende - Starters'!$C:$Z,E$11,0))-1),
VLOOKUP($A47,'Teilnehmende - Starters'!$C:$Z,E$11,0))))</f>
        <v/>
      </c>
      <c r="F47" s="72" t="str">
        <f>IF($A47="","",IF(VLOOKUP($A47,'Teilnehmende - Starters'!$C:$Z,F$11,0)="","",VLOOKUP($A47,'Teilnehmende - Starters'!$C:$Z,F$11,0)))</f>
        <v/>
      </c>
      <c r="G47" s="1" t="str">
        <f>IF($A47="","",IF(VLOOKUP($A47,'Teilnehmende - Starters'!$C:$Z,G$11,0)="","",VLOOKUP($A47,'Teilnehmende - Starters'!$C:$Z,G$11,0)))</f>
        <v/>
      </c>
      <c r="H47" s="1" t="str">
        <f>IF($A47="","",IF(VLOOKUP($A47,'Teilnehmende - Starters'!$C:$Z,H$11,0)="","",VLOOKUP($A47,'Teilnehmende - Starters'!$C:$Z,H$11,0)))</f>
        <v/>
      </c>
      <c r="I47" s="1" t="str">
        <f>IF($A47="","",IF(VLOOKUP($A47,'Teilnehmende - Starters'!$C:$Z,I$11,0)="","",VLOOKUP($A47,'Teilnehmende - Starters'!$C:$Z,I$11,0)))</f>
        <v/>
      </c>
      <c r="J47" s="1" t="str">
        <f>IF($A47="","",IF(VLOOKUP($A47,'Teilnehmende - Starters'!$C:$Z,J$11,0)="","",VLOOKUP($A47,'Teilnehmende - Starters'!$C:$Z,J$11,0)))</f>
        <v/>
      </c>
      <c r="K47" s="1" t="str">
        <f>IF($A47="","",IF(VLOOKUP($A47,'Teilnehmende - Starters'!$C:$Z,K$11,0)="","",VLOOKUP($A47,'Teilnehmende - Starters'!$C:$Z,K$11,0)))</f>
        <v/>
      </c>
      <c r="L47" s="1" t="str">
        <f>IF($A47="","",IF(VLOOKUP($A47,'Teilnehmende - Starters'!$C:$Z,L$11,0)="","",VLOOKUP($A47,'Teilnehmende - Starters'!$C:$Z,L$11,0)))</f>
        <v/>
      </c>
      <c r="M47" s="1" t="str">
        <f>IF($A47="","",IF(VLOOKUP($A47,'Teilnehmende - Starters'!$C:$Z,M$11,0)="","",VLOOKUP($A47,'Teilnehmende - Starters'!$C:$Z,M$11,0)))</f>
        <v/>
      </c>
      <c r="N47" s="17"/>
      <c r="O47" s="1" t="str">
        <f>IF(ISERROR(SMALL('Teilnehmende - Starters'!$D$81:$D$156,ROW(A33))),"",SMALL('Teilnehmende - Starters'!$D$81:$D$156,ROW(A33)))</f>
        <v/>
      </c>
      <c r="P47" s="1" t="str">
        <f>IF($O47="","",IF(VLOOKUP($O47,'Teilnehmende - Starters'!$D:$Z,P$11,0)="","",
IF(RIGHT(VLOOKUP($O47,'Teilnehmende - Starters'!$D:$Z,P$11,0),1)=" ",LEFT(VLOOKUP($O47,'Teilnehmende - Starters'!$D:$Z,P$11,0),LEN(VLOOKUP($O47,'Teilnehmende - Starters'!$D:$Z,P$11,0))-1),
VLOOKUP($O47,'Teilnehmende - Starters'!$D:$Z,P$11,0))))</f>
        <v/>
      </c>
      <c r="Q47" s="1" t="str">
        <f>IF($O47="","",IF(VLOOKUP($O47,'Teilnehmende - Starters'!$D:$Z,Q$11,0)="","",
IF(RIGHT(VLOOKUP($O47,'Teilnehmende - Starters'!$D:$Z,Q$11,0),1)=" ",LEFT(VLOOKUP($O47,'Teilnehmende - Starters'!$D:$Z,Q$11,0),LEN(VLOOKUP($O47,'Teilnehmende - Starters'!$D:$Z,Q$11,0))-1),
VLOOKUP($O47,'Teilnehmende - Starters'!$D:$Z,Q$11,0))))</f>
        <v/>
      </c>
      <c r="R47" s="1" t="str">
        <f t="shared" si="19"/>
        <v/>
      </c>
      <c r="S47" s="1" t="str">
        <f>IF($O47="","",IF(VLOOKUP($O47,'Teilnehmende - Starters'!$D:$Z,S$11,0)="","",VLOOKUP($O47,'Teilnehmende - Starters'!$D:$Z,S$11,0)))</f>
        <v/>
      </c>
      <c r="T47" s="1" t="str">
        <f>IF($O47="","",IF(VLOOKUP($O47,'Teilnehmende - Starters'!$D:$Z,T$11,0)="","",VLOOKUP($O47,'Teilnehmende - Starters'!$D:$Z,T$11,0)))</f>
        <v/>
      </c>
      <c r="U47" s="1" t="str">
        <f>IF($O47="","",IF(VLOOKUP(O47,'Teilnehmende - Starters'!$C:$I,7,0)="w",IF(OR(S47=20,S47=19),"DE","ME"),IF(OR(S47=20,S47=19),"HE","JE")))</f>
        <v/>
      </c>
      <c r="V47" s="1" t="str">
        <f t="shared" si="20"/>
        <v/>
      </c>
      <c r="W47" s="17"/>
      <c r="X47" s="1" t="str">
        <f>IF(ISERROR(SMALL('Teilnehmende - Starters'!$E$81:$E$156,ROW(A33))),"",SMALL('Teilnehmende - Starters'!$E$81:$E$156,ROW(A33)))</f>
        <v/>
      </c>
      <c r="Y47" s="1" t="str">
        <f>IF(X47="","",VLOOKUP(X47,'Teilnehmende - Starters'!$C:$Z,5,0)&amp;" "&amp;VLOOKUP(X47,'Teilnehmende - Starters'!$C:$Z,6,0))</f>
        <v/>
      </c>
      <c r="Z47" s="1" t="str">
        <f t="shared" si="21"/>
        <v/>
      </c>
      <c r="AA47" s="1" t="str">
        <f>IF(X47="","",IF(VLOOKUP(X47,'Teilnehmende - Starters'!$C:$Z,18,0)="Freimeldung",$A$2*100+99,VLOOKUP(Y47,'Teilnehmende - Starters'!$AA$5:$AD$80,4,FALSE)))</f>
        <v/>
      </c>
      <c r="AB47" s="1" t="str">
        <f>IF(AA47="","",IF(VLOOKUP(X47,'Teilnehmende - Starters'!$C:$Z,18,0)="Freimeldung","Freimeldung",VLOOKUP(AA47,$A$15:$E$77,4,0)&amp;" "&amp;VLOOKUP(AA47,$A$15:$E$77,5,0)))</f>
        <v/>
      </c>
      <c r="AC47" s="1" t="str">
        <f>IF(AA47="","",IF(VLOOKUP(X47,'Teilnehmende - Starters'!$C:$Z,18,0)="Freimeldung","",VLOOKUP(AA47,$A$15:$C$77,3,0)))</f>
        <v/>
      </c>
      <c r="AD47" s="1" t="str">
        <f>IF($X47="","",IF(VLOOKUP($X47,'Teilnehmende - Starters'!$C:$Z,AD$11,0)="","",VLOOKUP($X47,'Teilnehmende - Starters'!$C:$Z,AD$11,0)))</f>
        <v/>
      </c>
      <c r="AE47" s="1" t="str">
        <f>IF($X47="","",IF(VLOOKUP($X47,'Teilnehmende - Starters'!$C:$Z,AE$11,0)="","",VLOOKUP($X47,'Teilnehmende - Starters'!$C:$Z,AE$11,0)))</f>
        <v/>
      </c>
      <c r="AF47" s="1" t="str">
        <f>IF($X47="","",IF(VLOOKUP(X47,'Teilnehmende - Starters'!$C:$I,7,0)="w",IF(OR(AD47=20,AD47=19),"DD","MD"),IF(OR(AD47=20,AD47=19),"HD","JD")))</f>
        <v/>
      </c>
      <c r="AG47" s="1" t="str">
        <f t="shared" si="22"/>
        <v/>
      </c>
      <c r="AH47" s="17"/>
      <c r="AI47" s="1" t="str">
        <f>IF(ISERROR(SMALL('Teilnehmende - Starters'!$F$81:$F$156,ROW(#REF!))),"",SMALL('Teilnehmende - Starters'!$F$81:$F$156,ROW(#REF!)))</f>
        <v/>
      </c>
      <c r="AJ47" s="1" t="str">
        <f>IF(AI47="","",VLOOKUP(AI47,'Teilnehmende - Starters'!$C:$Z,5,0)&amp;" "&amp;VLOOKUP(AI47,'Teilnehmende - Starters'!$C:$Z,6,0))</f>
        <v/>
      </c>
      <c r="AK47" s="1" t="str">
        <f t="shared" si="23"/>
        <v/>
      </c>
      <c r="AL47" s="1" t="str">
        <f>IF(AI47="","",IF(VLOOKUP(AI47,'Teilnehmende - Starters'!$C:$AN,21,0)="Freimeldung",$A$2*100+99,VLOOKUP(AJ47,'Teilnehmende - Starters'!$AB$5:$AD$80,3,FALSE)))</f>
        <v/>
      </c>
      <c r="AM47" s="1" t="str">
        <f>IF(AL47="","",IF(VLOOKUP(AI47,'Teilnehmende - Starters'!$C:$Z,21,0)="Freimeldung","Freimeldung",VLOOKUP(AL47,$A$15:$E$77,4,0)&amp;" "&amp;VLOOKUP(AL47,$A$15:$E$77,5,0)))</f>
        <v/>
      </c>
      <c r="AN47" s="1" t="str">
        <f>IF(AL47="","",IF(VLOOKUP(AI47,'Teilnehmende - Starters'!$C:$Z,21,0)="Freimeldung","",VLOOKUP(AL47,$A$15:$C$77,3,0)))</f>
        <v/>
      </c>
      <c r="AO47" s="1" t="str">
        <f>IF($AI47="","",IF(VLOOKUP($AI47,'Teilnehmende - Starters'!$C:$Z,AO$11,0)="","",VLOOKUP($AI47,'Teilnehmende - Starters'!$C:$Z,AO$11,0)))</f>
        <v/>
      </c>
      <c r="AP47" s="1" t="str">
        <f>IF($AI47="","",IF(VLOOKUP($AI47,'Teilnehmende - Starters'!$C:$Z,AP$11,0)="","",VLOOKUP($AI47,'Teilnehmende - Starters'!$C:$Z,AP$11,0)))</f>
        <v/>
      </c>
      <c r="AQ47" s="1" t="str">
        <f t="shared" si="17"/>
        <v/>
      </c>
      <c r="AR47" s="1" t="str">
        <f t="shared" si="24"/>
        <v/>
      </c>
    </row>
    <row r="48" spans="1:44" x14ac:dyDescent="0.3">
      <c r="A48" s="1" t="str">
        <f>IF(ISERROR(SMALL('Teilnehmende - Starters'!$C$81:$C$156,ROW(A34))),"",SMALL('Teilnehmende - Starters'!$C$81:$C$156,ROW(A34)))</f>
        <v/>
      </c>
      <c r="B48" s="1" t="str">
        <f>IF($A48="","",IF(VLOOKUP($A48,'Teilnehmende - Starters'!$C:$Z,B$11,0)="","",SUBSTITUTE(VLOOKUP($A48,'Teilnehmende - Starters'!$C:$Z,B$11,0)," ","")))</f>
        <v/>
      </c>
      <c r="C48" s="1" t="str">
        <f>IF(A48="","",VLOOKUP(INT(A48/100),'Vereine - Clubs'!$C:$H,4,0))</f>
        <v/>
      </c>
      <c r="D48" s="1" t="str">
        <f>IF($A48="","",IF(VLOOKUP($A48,'Teilnehmende - Starters'!$C:$Z,D$11,0)="","",
IF(RIGHT(VLOOKUP($A48,'Teilnehmende - Starters'!$C:$Z,D$11,0),1)=" ",LEFT(VLOOKUP($A48,'Teilnehmende - Starters'!$C:$Z,D$11,0),LEN(VLOOKUP($A48,'Teilnehmende - Starters'!$C:$Z,D$11,0))-1),
VLOOKUP($A48,'Teilnehmende - Starters'!$C:$Z,D$11,0))))</f>
        <v/>
      </c>
      <c r="E48" s="1" t="str">
        <f>IF($A48="","",IF(VLOOKUP($A48,'Teilnehmende - Starters'!$C:$Z,E$11,0)="","",
IF(RIGHT(VLOOKUP($A48,'Teilnehmende - Starters'!$C:$Z,E$11,0),1)=" ",LEFT(VLOOKUP($A48,'Teilnehmende - Starters'!$C:$Z,E$11,0),LEN(VLOOKUP($A48,'Teilnehmende - Starters'!$C:$Z,E$11,0))-1),
VLOOKUP($A48,'Teilnehmende - Starters'!$C:$Z,E$11,0))))</f>
        <v/>
      </c>
      <c r="F48" s="72" t="str">
        <f>IF($A48="","",IF(VLOOKUP($A48,'Teilnehmende - Starters'!$C:$Z,F$11,0)="","",VLOOKUP($A48,'Teilnehmende - Starters'!$C:$Z,F$11,0)))</f>
        <v/>
      </c>
      <c r="G48" s="1" t="str">
        <f>IF($A48="","",IF(VLOOKUP($A48,'Teilnehmende - Starters'!$C:$Z,G$11,0)="","",VLOOKUP($A48,'Teilnehmende - Starters'!$C:$Z,G$11,0)))</f>
        <v/>
      </c>
      <c r="H48" s="1" t="str">
        <f>IF($A48="","",IF(VLOOKUP($A48,'Teilnehmende - Starters'!$C:$Z,H$11,0)="","",VLOOKUP($A48,'Teilnehmende - Starters'!$C:$Z,H$11,0)))</f>
        <v/>
      </c>
      <c r="I48" s="1" t="str">
        <f>IF($A48="","",IF(VLOOKUP($A48,'Teilnehmende - Starters'!$C:$Z,I$11,0)="","",VLOOKUP($A48,'Teilnehmende - Starters'!$C:$Z,I$11,0)))</f>
        <v/>
      </c>
      <c r="J48" s="1" t="str">
        <f>IF($A48="","",IF(VLOOKUP($A48,'Teilnehmende - Starters'!$C:$Z,J$11,0)="","",VLOOKUP($A48,'Teilnehmende - Starters'!$C:$Z,J$11,0)))</f>
        <v/>
      </c>
      <c r="K48" s="1" t="str">
        <f>IF($A48="","",IF(VLOOKUP($A48,'Teilnehmende - Starters'!$C:$Z,K$11,0)="","",VLOOKUP($A48,'Teilnehmende - Starters'!$C:$Z,K$11,0)))</f>
        <v/>
      </c>
      <c r="L48" s="1" t="str">
        <f>IF($A48="","",IF(VLOOKUP($A48,'Teilnehmende - Starters'!$C:$Z,L$11,0)="","",VLOOKUP($A48,'Teilnehmende - Starters'!$C:$Z,L$11,0)))</f>
        <v/>
      </c>
      <c r="M48" s="1" t="str">
        <f>IF($A48="","",IF(VLOOKUP($A48,'Teilnehmende - Starters'!$C:$Z,M$11,0)="","",VLOOKUP($A48,'Teilnehmende - Starters'!$C:$Z,M$11,0)))</f>
        <v/>
      </c>
      <c r="N48" s="17"/>
      <c r="O48" s="1" t="str">
        <f>IF(ISERROR(SMALL('Teilnehmende - Starters'!$D$81:$D$156,ROW(A34))),"",SMALL('Teilnehmende - Starters'!$D$81:$D$156,ROW(A34)))</f>
        <v/>
      </c>
      <c r="P48" s="1" t="str">
        <f>IF($O48="","",IF(VLOOKUP($O48,'Teilnehmende - Starters'!$D:$Z,P$11,0)="","",
IF(RIGHT(VLOOKUP($O48,'Teilnehmende - Starters'!$D:$Z,P$11,0),1)=" ",LEFT(VLOOKUP($O48,'Teilnehmende - Starters'!$D:$Z,P$11,0),LEN(VLOOKUP($O48,'Teilnehmende - Starters'!$D:$Z,P$11,0))-1),
VLOOKUP($O48,'Teilnehmende - Starters'!$D:$Z,P$11,0))))</f>
        <v/>
      </c>
      <c r="Q48" s="1" t="str">
        <f>IF($O48="","",IF(VLOOKUP($O48,'Teilnehmende - Starters'!$D:$Z,Q$11,0)="","",
IF(RIGHT(VLOOKUP($O48,'Teilnehmende - Starters'!$D:$Z,Q$11,0),1)=" ",LEFT(VLOOKUP($O48,'Teilnehmende - Starters'!$D:$Z,Q$11,0),LEN(VLOOKUP($O48,'Teilnehmende - Starters'!$D:$Z,Q$11,0))-1),
VLOOKUP($O48,'Teilnehmende - Starters'!$D:$Z,Q$11,0))))</f>
        <v/>
      </c>
      <c r="R48" s="1" t="str">
        <f t="shared" si="19"/>
        <v/>
      </c>
      <c r="S48" s="1" t="str">
        <f>IF($O48="","",IF(VLOOKUP($O48,'Teilnehmende - Starters'!$D:$Z,S$11,0)="","",VLOOKUP($O48,'Teilnehmende - Starters'!$D:$Z,S$11,0)))</f>
        <v/>
      </c>
      <c r="T48" s="1" t="str">
        <f>IF($O48="","",IF(VLOOKUP($O48,'Teilnehmende - Starters'!$D:$Z,T$11,0)="","",VLOOKUP($O48,'Teilnehmende - Starters'!$D:$Z,T$11,0)))</f>
        <v/>
      </c>
      <c r="U48" s="1" t="str">
        <f>IF($O48="","",IF(VLOOKUP(O48,'Teilnehmende - Starters'!$C:$I,7,0)="w",IF(OR(S48=20,S48=19),"DE","ME"),IF(OR(S48=20,S48=19),"HE","JE")))</f>
        <v/>
      </c>
      <c r="V48" s="1" t="str">
        <f t="shared" si="20"/>
        <v/>
      </c>
      <c r="W48" s="17"/>
      <c r="X48" s="1" t="str">
        <f>IF(ISERROR(SMALL('Teilnehmende - Starters'!$E$81:$E$156,ROW(A34))),"",SMALL('Teilnehmende - Starters'!$E$81:$E$156,ROW(A34)))</f>
        <v/>
      </c>
      <c r="Y48" s="1" t="str">
        <f>IF(X48="","",VLOOKUP(X48,'Teilnehmende - Starters'!$C:$Z,5,0)&amp;" "&amp;VLOOKUP(X48,'Teilnehmende - Starters'!$C:$Z,6,0))</f>
        <v/>
      </c>
      <c r="Z48" s="1" t="str">
        <f t="shared" si="21"/>
        <v/>
      </c>
      <c r="AA48" s="1" t="str">
        <f>IF(X48="","",IF(VLOOKUP(X48,'Teilnehmende - Starters'!$C:$Z,18,0)="Freimeldung",$A$2*100+99,VLOOKUP(Y48,'Teilnehmende - Starters'!$AA$5:$AD$80,4,FALSE)))</f>
        <v/>
      </c>
      <c r="AB48" s="1" t="str">
        <f>IF(AA48="","",IF(VLOOKUP(X48,'Teilnehmende - Starters'!$C:$Z,18,0)="Freimeldung","Freimeldung",VLOOKUP(AA48,$A$15:$E$77,4,0)&amp;" "&amp;VLOOKUP(AA48,$A$15:$E$77,5,0)))</f>
        <v/>
      </c>
      <c r="AC48" s="1" t="str">
        <f>IF(AA48="","",IF(VLOOKUP(X48,'Teilnehmende - Starters'!$C:$Z,18,0)="Freimeldung","",VLOOKUP(AA48,$A$15:$C$77,3,0)))</f>
        <v/>
      </c>
      <c r="AD48" s="1" t="str">
        <f>IF($X48="","",IF(VLOOKUP($X48,'Teilnehmende - Starters'!$C:$Z,AD$11,0)="","",VLOOKUP($X48,'Teilnehmende - Starters'!$C:$Z,AD$11,0)))</f>
        <v/>
      </c>
      <c r="AE48" s="1" t="str">
        <f>IF($X48="","",IF(VLOOKUP($X48,'Teilnehmende - Starters'!$C:$Z,AE$11,0)="","",VLOOKUP($X48,'Teilnehmende - Starters'!$C:$Z,AE$11,0)))</f>
        <v/>
      </c>
      <c r="AF48" s="1" t="str">
        <f>IF($X48="","",IF(VLOOKUP(X48,'Teilnehmende - Starters'!$C:$I,7,0)="w",IF(OR(AD48=20,AD48=19),"DD","MD"),IF(OR(AD48=20,AD48=19),"HD","JD")))</f>
        <v/>
      </c>
      <c r="AG48" s="1" t="str">
        <f t="shared" si="22"/>
        <v/>
      </c>
      <c r="AH48" s="17"/>
      <c r="AI48" s="1" t="str">
        <f>IF(ISERROR(SMALL('Teilnehmende - Starters'!$F$81:$F$156,ROW(#REF!))),"",SMALL('Teilnehmende - Starters'!$F$81:$F$156,ROW(#REF!)))</f>
        <v/>
      </c>
      <c r="AJ48" s="1" t="str">
        <f>IF(AI48="","",VLOOKUP(AI48,'Teilnehmende - Starters'!$C:$Z,5,0)&amp;" "&amp;VLOOKUP(AI48,'Teilnehmende - Starters'!$C:$Z,6,0))</f>
        <v/>
      </c>
      <c r="AK48" s="1" t="str">
        <f t="shared" si="23"/>
        <v/>
      </c>
      <c r="AL48" s="1" t="str">
        <f>IF(AI48="","",IF(VLOOKUP(AI48,'Teilnehmende - Starters'!$C:$AN,21,0)="Freimeldung",$A$2*100+99,VLOOKUP(AJ48,'Teilnehmende - Starters'!$AB$5:$AD$80,3,FALSE)))</f>
        <v/>
      </c>
      <c r="AM48" s="1" t="str">
        <f>IF(AL48="","",IF(VLOOKUP(AI48,'Teilnehmende - Starters'!$C:$Z,21,0)="Freimeldung","Freimeldung",VLOOKUP(AL48,$A$15:$E$77,4,0)&amp;" "&amp;VLOOKUP(AL48,$A$15:$E$77,5,0)))</f>
        <v/>
      </c>
      <c r="AN48" s="1" t="str">
        <f>IF(AL48="","",IF(VLOOKUP(AI48,'Teilnehmende - Starters'!$C:$Z,21,0)="Freimeldung","",VLOOKUP(AL48,$A$15:$C$77,3,0)))</f>
        <v/>
      </c>
      <c r="AO48" s="1" t="str">
        <f>IF($AI48="","",IF(VLOOKUP($AI48,'Teilnehmende - Starters'!$C:$Z,AO$11,0)="","",VLOOKUP($AI48,'Teilnehmende - Starters'!$C:$Z,AO$11,0)))</f>
        <v/>
      </c>
      <c r="AP48" s="1" t="str">
        <f>IF($AI48="","",IF(VLOOKUP($AI48,'Teilnehmende - Starters'!$C:$Z,AP$11,0)="","",VLOOKUP($AI48,'Teilnehmende - Starters'!$C:$Z,AP$11,0)))</f>
        <v/>
      </c>
      <c r="AQ48" s="1" t="str">
        <f t="shared" si="17"/>
        <v/>
      </c>
      <c r="AR48" s="1" t="str">
        <f t="shared" si="24"/>
        <v/>
      </c>
    </row>
    <row r="49" spans="1:44" x14ac:dyDescent="0.3">
      <c r="A49" s="1" t="str">
        <f>IF(ISERROR(SMALL('Teilnehmende - Starters'!$C$81:$C$156,ROW(A35))),"",SMALL('Teilnehmende - Starters'!$C$81:$C$156,ROW(A35)))</f>
        <v/>
      </c>
      <c r="B49" s="1" t="str">
        <f>IF($A49="","",IF(VLOOKUP($A49,'Teilnehmende - Starters'!$C:$Z,B$11,0)="","",SUBSTITUTE(VLOOKUP($A49,'Teilnehmende - Starters'!$C:$Z,B$11,0)," ","")))</f>
        <v/>
      </c>
      <c r="C49" s="1" t="str">
        <f>IF(A49="","",VLOOKUP(INT(A49/100),'Vereine - Clubs'!$C:$H,4,0))</f>
        <v/>
      </c>
      <c r="D49" s="1" t="str">
        <f>IF($A49="","",IF(VLOOKUP($A49,'Teilnehmende - Starters'!$C:$Z,D$11,0)="","",
IF(RIGHT(VLOOKUP($A49,'Teilnehmende - Starters'!$C:$Z,D$11,0),1)=" ",LEFT(VLOOKUP($A49,'Teilnehmende - Starters'!$C:$Z,D$11,0),LEN(VLOOKUP($A49,'Teilnehmende - Starters'!$C:$Z,D$11,0))-1),
VLOOKUP($A49,'Teilnehmende - Starters'!$C:$Z,D$11,0))))</f>
        <v/>
      </c>
      <c r="E49" s="1" t="str">
        <f>IF($A49="","",IF(VLOOKUP($A49,'Teilnehmende - Starters'!$C:$Z,E$11,0)="","",
IF(RIGHT(VLOOKUP($A49,'Teilnehmende - Starters'!$C:$Z,E$11,0),1)=" ",LEFT(VLOOKUP($A49,'Teilnehmende - Starters'!$C:$Z,E$11,0),LEN(VLOOKUP($A49,'Teilnehmende - Starters'!$C:$Z,E$11,0))-1),
VLOOKUP($A49,'Teilnehmende - Starters'!$C:$Z,E$11,0))))</f>
        <v/>
      </c>
      <c r="F49" s="72" t="str">
        <f>IF($A49="","",IF(VLOOKUP($A49,'Teilnehmende - Starters'!$C:$Z,F$11,0)="","",VLOOKUP($A49,'Teilnehmende - Starters'!$C:$Z,F$11,0)))</f>
        <v/>
      </c>
      <c r="G49" s="1" t="str">
        <f>IF($A49="","",IF(VLOOKUP($A49,'Teilnehmende - Starters'!$C:$Z,G$11,0)="","",VLOOKUP($A49,'Teilnehmende - Starters'!$C:$Z,G$11,0)))</f>
        <v/>
      </c>
      <c r="H49" s="1" t="str">
        <f>IF($A49="","",IF(VLOOKUP($A49,'Teilnehmende - Starters'!$C:$Z,H$11,0)="","",VLOOKUP($A49,'Teilnehmende - Starters'!$C:$Z,H$11,0)))</f>
        <v/>
      </c>
      <c r="I49" s="1" t="str">
        <f>IF($A49="","",IF(VLOOKUP($A49,'Teilnehmende - Starters'!$C:$Z,I$11,0)="","",VLOOKUP($A49,'Teilnehmende - Starters'!$C:$Z,I$11,0)))</f>
        <v/>
      </c>
      <c r="J49" s="1" t="str">
        <f>IF($A49="","",IF(VLOOKUP($A49,'Teilnehmende - Starters'!$C:$Z,J$11,0)="","",VLOOKUP($A49,'Teilnehmende - Starters'!$C:$Z,J$11,0)))</f>
        <v/>
      </c>
      <c r="K49" s="1" t="str">
        <f>IF($A49="","",IF(VLOOKUP($A49,'Teilnehmende - Starters'!$C:$Z,K$11,0)="","",VLOOKUP($A49,'Teilnehmende - Starters'!$C:$Z,K$11,0)))</f>
        <v/>
      </c>
      <c r="L49" s="1" t="str">
        <f>IF($A49="","",IF(VLOOKUP($A49,'Teilnehmende - Starters'!$C:$Z,L$11,0)="","",VLOOKUP($A49,'Teilnehmende - Starters'!$C:$Z,L$11,0)))</f>
        <v/>
      </c>
      <c r="M49" s="1" t="str">
        <f>IF($A49="","",IF(VLOOKUP($A49,'Teilnehmende - Starters'!$C:$Z,M$11,0)="","",VLOOKUP($A49,'Teilnehmende - Starters'!$C:$Z,M$11,0)))</f>
        <v/>
      </c>
      <c r="N49" s="17"/>
      <c r="O49" s="1" t="str">
        <f>IF(ISERROR(SMALL('Teilnehmende - Starters'!$D$81:$D$156,ROW(A35))),"",SMALL('Teilnehmende - Starters'!$D$81:$D$156,ROW(A35)))</f>
        <v/>
      </c>
      <c r="P49" s="1" t="str">
        <f>IF($O49="","",IF(VLOOKUP($O49,'Teilnehmende - Starters'!$D:$Z,P$11,0)="","",
IF(RIGHT(VLOOKUP($O49,'Teilnehmende - Starters'!$D:$Z,P$11,0),1)=" ",LEFT(VLOOKUP($O49,'Teilnehmende - Starters'!$D:$Z,P$11,0),LEN(VLOOKUP($O49,'Teilnehmende - Starters'!$D:$Z,P$11,0))-1),
VLOOKUP($O49,'Teilnehmende - Starters'!$D:$Z,P$11,0))))</f>
        <v/>
      </c>
      <c r="Q49" s="1" t="str">
        <f>IF($O49="","",IF(VLOOKUP($O49,'Teilnehmende - Starters'!$D:$Z,Q$11,0)="","",
IF(RIGHT(VLOOKUP($O49,'Teilnehmende - Starters'!$D:$Z,Q$11,0),1)=" ",LEFT(VLOOKUP($O49,'Teilnehmende - Starters'!$D:$Z,Q$11,0),LEN(VLOOKUP($O49,'Teilnehmende - Starters'!$D:$Z,Q$11,0))-1),
VLOOKUP($O49,'Teilnehmende - Starters'!$D:$Z,Q$11,0))))</f>
        <v/>
      </c>
      <c r="R49" s="1" t="str">
        <f t="shared" si="19"/>
        <v/>
      </c>
      <c r="S49" s="1" t="str">
        <f>IF($O49="","",IF(VLOOKUP($O49,'Teilnehmende - Starters'!$D:$Z,S$11,0)="","",VLOOKUP($O49,'Teilnehmende - Starters'!$D:$Z,S$11,0)))</f>
        <v/>
      </c>
      <c r="T49" s="1" t="str">
        <f>IF($O49="","",IF(VLOOKUP($O49,'Teilnehmende - Starters'!$D:$Z,T$11,0)="","",VLOOKUP($O49,'Teilnehmende - Starters'!$D:$Z,T$11,0)))</f>
        <v/>
      </c>
      <c r="U49" s="1" t="str">
        <f>IF($O49="","",IF(VLOOKUP(O49,'Teilnehmende - Starters'!$C:$I,7,0)="w",IF(OR(S49=20,S49=19),"DE","ME"),IF(OR(S49=20,S49=19),"HE","JE")))</f>
        <v/>
      </c>
      <c r="V49" s="1" t="str">
        <f t="shared" si="20"/>
        <v/>
      </c>
      <c r="W49" s="17"/>
      <c r="X49" s="1" t="str">
        <f>IF(ISERROR(SMALL('Teilnehmende - Starters'!$E$81:$E$156,ROW(A35))),"",SMALL('Teilnehmende - Starters'!$E$81:$E$156,ROW(A35)))</f>
        <v/>
      </c>
      <c r="Y49" s="1" t="str">
        <f>IF(X49="","",VLOOKUP(X49,'Teilnehmende - Starters'!$C:$Z,5,0)&amp;" "&amp;VLOOKUP(X49,'Teilnehmende - Starters'!$C:$Z,6,0))</f>
        <v/>
      </c>
      <c r="Z49" s="1" t="str">
        <f t="shared" si="21"/>
        <v/>
      </c>
      <c r="AA49" s="1" t="str">
        <f>IF(X49="","",IF(VLOOKUP(X49,'Teilnehmende - Starters'!$C:$Z,18,0)="Freimeldung",$A$2*100+99,VLOOKUP(Y49,'Teilnehmende - Starters'!$AA$5:$AD$80,4,FALSE)))</f>
        <v/>
      </c>
      <c r="AB49" s="1" t="str">
        <f>IF(AA49="","",IF(VLOOKUP(X49,'Teilnehmende - Starters'!$C:$Z,18,0)="Freimeldung","Freimeldung",VLOOKUP(AA49,$A$15:$E$77,4,0)&amp;" "&amp;VLOOKUP(AA49,$A$15:$E$77,5,0)))</f>
        <v/>
      </c>
      <c r="AC49" s="1" t="str">
        <f>IF(AA49="","",IF(VLOOKUP(X49,'Teilnehmende - Starters'!$C:$Z,18,0)="Freimeldung","",VLOOKUP(AA49,$A$15:$C$77,3,0)))</f>
        <v/>
      </c>
      <c r="AD49" s="1" t="str">
        <f>IF($X49="","",IF(VLOOKUP($X49,'Teilnehmende - Starters'!$C:$Z,AD$11,0)="","",VLOOKUP($X49,'Teilnehmende - Starters'!$C:$Z,AD$11,0)))</f>
        <v/>
      </c>
      <c r="AE49" s="1" t="str">
        <f>IF($X49="","",IF(VLOOKUP($X49,'Teilnehmende - Starters'!$C:$Z,AE$11,0)="","",VLOOKUP($X49,'Teilnehmende - Starters'!$C:$Z,AE$11,0)))</f>
        <v/>
      </c>
      <c r="AF49" s="1" t="str">
        <f>IF($X49="","",IF(VLOOKUP(X49,'Teilnehmende - Starters'!$C:$I,7,0)="w",IF(OR(AD49=20,AD49=19),"DD","MD"),IF(OR(AD49=20,AD49=19),"HD","JD")))</f>
        <v/>
      </c>
      <c r="AG49" s="1" t="str">
        <f t="shared" si="22"/>
        <v/>
      </c>
      <c r="AH49" s="17"/>
      <c r="AI49" s="1" t="str">
        <f>IF(ISERROR(SMALL('Teilnehmende - Starters'!$F$81:$F$156,ROW(#REF!))),"",SMALL('Teilnehmende - Starters'!$F$81:$F$156,ROW(#REF!)))</f>
        <v/>
      </c>
      <c r="AJ49" s="1" t="str">
        <f>IF(AI49="","",VLOOKUP(AI49,'Teilnehmende - Starters'!$C:$Z,5,0)&amp;" "&amp;VLOOKUP(AI49,'Teilnehmende - Starters'!$C:$Z,6,0))</f>
        <v/>
      </c>
      <c r="AK49" s="1" t="str">
        <f t="shared" si="23"/>
        <v/>
      </c>
      <c r="AL49" s="1" t="str">
        <f>IF(AI49="","",IF(VLOOKUP(AI49,'Teilnehmende - Starters'!$C:$AN,21,0)="Freimeldung",$A$2*100+99,VLOOKUP(AJ49,'Teilnehmende - Starters'!$AB$5:$AD$80,3,FALSE)))</f>
        <v/>
      </c>
      <c r="AM49" s="1" t="str">
        <f>IF(AL49="","",IF(VLOOKUP(AI49,'Teilnehmende - Starters'!$C:$Z,21,0)="Freimeldung","Freimeldung",VLOOKUP(AL49,$A$15:$E$77,4,0)&amp;" "&amp;VLOOKUP(AL49,$A$15:$E$77,5,0)))</f>
        <v/>
      </c>
      <c r="AN49" s="1" t="str">
        <f>IF(AL49="","",IF(VLOOKUP(AI49,'Teilnehmende - Starters'!$C:$Z,21,0)="Freimeldung","",VLOOKUP(AL49,$A$15:$C$77,3,0)))</f>
        <v/>
      </c>
      <c r="AO49" s="1" t="str">
        <f>IF($AI49="","",IF(VLOOKUP($AI49,'Teilnehmende - Starters'!$C:$Z,AO$11,0)="","",VLOOKUP($AI49,'Teilnehmende - Starters'!$C:$Z,AO$11,0)))</f>
        <v/>
      </c>
      <c r="AP49" s="1" t="str">
        <f>IF($AI49="","",IF(VLOOKUP($AI49,'Teilnehmende - Starters'!$C:$Z,AP$11,0)="","",VLOOKUP($AI49,'Teilnehmende - Starters'!$C:$Z,AP$11,0)))</f>
        <v/>
      </c>
      <c r="AQ49" s="1" t="str">
        <f t="shared" si="17"/>
        <v/>
      </c>
      <c r="AR49" s="1" t="str">
        <f t="shared" si="24"/>
        <v/>
      </c>
    </row>
    <row r="50" spans="1:44" x14ac:dyDescent="0.3">
      <c r="A50" s="1" t="str">
        <f>IF(ISERROR(SMALL('Teilnehmende - Starters'!$C$81:$C$156,ROW(A36))),"",SMALL('Teilnehmende - Starters'!$C$81:$C$156,ROW(A36)))</f>
        <v/>
      </c>
      <c r="B50" s="1" t="str">
        <f>IF($A50="","",IF(VLOOKUP($A50,'Teilnehmende - Starters'!$C:$Z,B$11,0)="","",SUBSTITUTE(VLOOKUP($A50,'Teilnehmende - Starters'!$C:$Z,B$11,0)," ","")))</f>
        <v/>
      </c>
      <c r="C50" s="1" t="str">
        <f>IF(A50="","",VLOOKUP(INT(A50/100),'Vereine - Clubs'!$C:$H,4,0))</f>
        <v/>
      </c>
      <c r="D50" s="1" t="str">
        <f>IF($A50="","",IF(VLOOKUP($A50,'Teilnehmende - Starters'!$C:$Z,D$11,0)="","",
IF(RIGHT(VLOOKUP($A50,'Teilnehmende - Starters'!$C:$Z,D$11,0),1)=" ",LEFT(VLOOKUP($A50,'Teilnehmende - Starters'!$C:$Z,D$11,0),LEN(VLOOKUP($A50,'Teilnehmende - Starters'!$C:$Z,D$11,0))-1),
VLOOKUP($A50,'Teilnehmende - Starters'!$C:$Z,D$11,0))))</f>
        <v/>
      </c>
      <c r="E50" s="1" t="str">
        <f>IF($A50="","",IF(VLOOKUP($A50,'Teilnehmende - Starters'!$C:$Z,E$11,0)="","",
IF(RIGHT(VLOOKUP($A50,'Teilnehmende - Starters'!$C:$Z,E$11,0),1)=" ",LEFT(VLOOKUP($A50,'Teilnehmende - Starters'!$C:$Z,E$11,0),LEN(VLOOKUP($A50,'Teilnehmende - Starters'!$C:$Z,E$11,0))-1),
VLOOKUP($A50,'Teilnehmende - Starters'!$C:$Z,E$11,0))))</f>
        <v/>
      </c>
      <c r="F50" s="72" t="str">
        <f>IF($A50="","",IF(VLOOKUP($A50,'Teilnehmende - Starters'!$C:$Z,F$11,0)="","",VLOOKUP($A50,'Teilnehmende - Starters'!$C:$Z,F$11,0)))</f>
        <v/>
      </c>
      <c r="G50" s="1" t="str">
        <f>IF($A50="","",IF(VLOOKUP($A50,'Teilnehmende - Starters'!$C:$Z,G$11,0)="","",VLOOKUP($A50,'Teilnehmende - Starters'!$C:$Z,G$11,0)))</f>
        <v/>
      </c>
      <c r="H50" s="1" t="str">
        <f>IF($A50="","",IF(VLOOKUP($A50,'Teilnehmende - Starters'!$C:$Z,H$11,0)="","",VLOOKUP($A50,'Teilnehmende - Starters'!$C:$Z,H$11,0)))</f>
        <v/>
      </c>
      <c r="I50" s="1" t="str">
        <f>IF($A50="","",IF(VLOOKUP($A50,'Teilnehmende - Starters'!$C:$Z,I$11,0)="","",VLOOKUP($A50,'Teilnehmende - Starters'!$C:$Z,I$11,0)))</f>
        <v/>
      </c>
      <c r="J50" s="1" t="str">
        <f>IF($A50="","",IF(VLOOKUP($A50,'Teilnehmende - Starters'!$C:$Z,J$11,0)="","",VLOOKUP($A50,'Teilnehmende - Starters'!$C:$Z,J$11,0)))</f>
        <v/>
      </c>
      <c r="K50" s="1" t="str">
        <f>IF($A50="","",IF(VLOOKUP($A50,'Teilnehmende - Starters'!$C:$Z,K$11,0)="","",VLOOKUP($A50,'Teilnehmende - Starters'!$C:$Z,K$11,0)))</f>
        <v/>
      </c>
      <c r="L50" s="1" t="str">
        <f>IF($A50="","",IF(VLOOKUP($A50,'Teilnehmende - Starters'!$C:$Z,L$11,0)="","",VLOOKUP($A50,'Teilnehmende - Starters'!$C:$Z,L$11,0)))</f>
        <v/>
      </c>
      <c r="M50" s="1" t="str">
        <f>IF($A50="","",IF(VLOOKUP($A50,'Teilnehmende - Starters'!$C:$Z,M$11,0)="","",VLOOKUP($A50,'Teilnehmende - Starters'!$C:$Z,M$11,0)))</f>
        <v/>
      </c>
      <c r="N50" s="17"/>
      <c r="O50" s="1" t="str">
        <f>IF(ISERROR(SMALL('Teilnehmende - Starters'!$D$81:$D$156,ROW(A36))),"",SMALL('Teilnehmende - Starters'!$D$81:$D$156,ROW(A36)))</f>
        <v/>
      </c>
      <c r="P50" s="1" t="str">
        <f>IF($O50="","",IF(VLOOKUP($O50,'Teilnehmende - Starters'!$D:$Z,P$11,0)="","",
IF(RIGHT(VLOOKUP($O50,'Teilnehmende - Starters'!$D:$Z,P$11,0),1)=" ",LEFT(VLOOKUP($O50,'Teilnehmende - Starters'!$D:$Z,P$11,0),LEN(VLOOKUP($O50,'Teilnehmende - Starters'!$D:$Z,P$11,0))-1),
VLOOKUP($O50,'Teilnehmende - Starters'!$D:$Z,P$11,0))))</f>
        <v/>
      </c>
      <c r="Q50" s="1" t="str">
        <f>IF($O50="","",IF(VLOOKUP($O50,'Teilnehmende - Starters'!$D:$Z,Q$11,0)="","",
IF(RIGHT(VLOOKUP($O50,'Teilnehmende - Starters'!$D:$Z,Q$11,0),1)=" ",LEFT(VLOOKUP($O50,'Teilnehmende - Starters'!$D:$Z,Q$11,0),LEN(VLOOKUP($O50,'Teilnehmende - Starters'!$D:$Z,Q$11,0))-1),
VLOOKUP($O50,'Teilnehmende - Starters'!$D:$Z,Q$11,0))))</f>
        <v/>
      </c>
      <c r="R50" s="1" t="str">
        <f t="shared" si="19"/>
        <v/>
      </c>
      <c r="S50" s="1" t="str">
        <f>IF($O50="","",IF(VLOOKUP($O50,'Teilnehmende - Starters'!$D:$Z,S$11,0)="","",VLOOKUP($O50,'Teilnehmende - Starters'!$D:$Z,S$11,0)))</f>
        <v/>
      </c>
      <c r="T50" s="1" t="str">
        <f>IF($O50="","",IF(VLOOKUP($O50,'Teilnehmende - Starters'!$D:$Z,T$11,0)="","",VLOOKUP($O50,'Teilnehmende - Starters'!$D:$Z,T$11,0)))</f>
        <v/>
      </c>
      <c r="U50" s="1" t="str">
        <f>IF($O50="","",IF(VLOOKUP(O50,'Teilnehmende - Starters'!$C:$I,7,0)="w",IF(OR(S50=20,S50=19),"DE","ME"),IF(OR(S50=20,S50=19),"HE","JE")))</f>
        <v/>
      </c>
      <c r="V50" s="1" t="str">
        <f t="shared" si="20"/>
        <v/>
      </c>
      <c r="W50" s="17"/>
      <c r="X50" s="1" t="str">
        <f>IF(ISERROR(SMALL('Teilnehmende - Starters'!$E$81:$E$156,ROW(A36))),"",SMALL('Teilnehmende - Starters'!$E$81:$E$156,ROW(A36)))</f>
        <v/>
      </c>
      <c r="Y50" s="1" t="str">
        <f>IF(X50="","",VLOOKUP(X50,'Teilnehmende - Starters'!$C:$Z,5,0)&amp;" "&amp;VLOOKUP(X50,'Teilnehmende - Starters'!$C:$Z,6,0))</f>
        <v/>
      </c>
      <c r="Z50" s="1" t="str">
        <f t="shared" si="21"/>
        <v/>
      </c>
      <c r="AA50" s="1" t="str">
        <f>IF(X50="","",IF(VLOOKUP(X50,'Teilnehmende - Starters'!$C:$Z,18,0)="Freimeldung",$A$2*100+99,VLOOKUP(Y50,'Teilnehmende - Starters'!$AA$5:$AD$80,4,FALSE)))</f>
        <v/>
      </c>
      <c r="AB50" s="1" t="str">
        <f>IF(AA50="","",IF(VLOOKUP(X50,'Teilnehmende - Starters'!$C:$Z,18,0)="Freimeldung","Freimeldung",VLOOKUP(AA50,$A$15:$E$77,4,0)&amp;" "&amp;VLOOKUP(AA50,$A$15:$E$77,5,0)))</f>
        <v/>
      </c>
      <c r="AC50" s="1" t="str">
        <f>IF(AA50="","",IF(VLOOKUP(X50,'Teilnehmende - Starters'!$C:$Z,18,0)="Freimeldung","",VLOOKUP(AA50,$A$15:$C$77,3,0)))</f>
        <v/>
      </c>
      <c r="AD50" s="1" t="str">
        <f>IF($X50="","",IF(VLOOKUP($X50,'Teilnehmende - Starters'!$C:$Z,AD$11,0)="","",VLOOKUP($X50,'Teilnehmende - Starters'!$C:$Z,AD$11,0)))</f>
        <v/>
      </c>
      <c r="AE50" s="1" t="str">
        <f>IF($X50="","",IF(VLOOKUP($X50,'Teilnehmende - Starters'!$C:$Z,AE$11,0)="","",VLOOKUP($X50,'Teilnehmende - Starters'!$C:$Z,AE$11,0)))</f>
        <v/>
      </c>
      <c r="AF50" s="1" t="str">
        <f>IF($X50="","",IF(VLOOKUP(X50,'Teilnehmende - Starters'!$C:$I,7,0)="w",IF(OR(AD50=20,AD50=19),"DD","MD"),IF(OR(AD50=20,AD50=19),"HD","JD")))</f>
        <v/>
      </c>
      <c r="AG50" s="1" t="str">
        <f t="shared" si="22"/>
        <v/>
      </c>
      <c r="AH50" s="17"/>
      <c r="AI50" s="1" t="str">
        <f>IF(ISERROR(SMALL('Teilnehmende - Starters'!$F$81:$F$156,ROW(#REF!))),"",SMALL('Teilnehmende - Starters'!$F$81:$F$156,ROW(#REF!)))</f>
        <v/>
      </c>
      <c r="AJ50" s="1" t="str">
        <f>IF(AI50="","",VLOOKUP(AI50,'Teilnehmende - Starters'!$C:$Z,5,0)&amp;" "&amp;VLOOKUP(AI50,'Teilnehmende - Starters'!$C:$Z,6,0))</f>
        <v/>
      </c>
      <c r="AK50" s="1" t="str">
        <f t="shared" si="23"/>
        <v/>
      </c>
      <c r="AL50" s="1" t="str">
        <f>IF(AI50="","",IF(VLOOKUP(AI50,'Teilnehmende - Starters'!$C:$AN,21,0)="Freimeldung",$A$2*100+99,VLOOKUP(AJ50,'Teilnehmende - Starters'!$AB$5:$AD$80,3,FALSE)))</f>
        <v/>
      </c>
      <c r="AM50" s="1" t="str">
        <f>IF(AL50="","",IF(VLOOKUP(AI50,'Teilnehmende - Starters'!$C:$Z,21,0)="Freimeldung","Freimeldung",VLOOKUP(AL50,$A$15:$E$77,4,0)&amp;" "&amp;VLOOKUP(AL50,$A$15:$E$77,5,0)))</f>
        <v/>
      </c>
      <c r="AN50" s="1" t="str">
        <f>IF(AL50="","",IF(VLOOKUP(AI50,'Teilnehmende - Starters'!$C:$Z,21,0)="Freimeldung","",VLOOKUP(AL50,$A$15:$C$77,3,0)))</f>
        <v/>
      </c>
      <c r="AO50" s="1" t="str">
        <f>IF($AI50="","",IF(VLOOKUP($AI50,'Teilnehmende - Starters'!$C:$Z,AO$11,0)="","",VLOOKUP($AI50,'Teilnehmende - Starters'!$C:$Z,AO$11,0)))</f>
        <v/>
      </c>
      <c r="AP50" s="1" t="str">
        <f>IF($AI50="","",IF(VLOOKUP($AI50,'Teilnehmende - Starters'!$C:$Z,AP$11,0)="","",VLOOKUP($AI50,'Teilnehmende - Starters'!$C:$Z,AP$11,0)))</f>
        <v/>
      </c>
      <c r="AQ50" s="1" t="str">
        <f t="shared" si="17"/>
        <v/>
      </c>
      <c r="AR50" s="1" t="str">
        <f t="shared" si="24"/>
        <v/>
      </c>
    </row>
    <row r="51" spans="1:44" x14ac:dyDescent="0.3">
      <c r="A51" s="1" t="str">
        <f>IF(ISERROR(SMALL('Teilnehmende - Starters'!$C$81:$C$156,ROW(A37))),"",SMALL('Teilnehmende - Starters'!$C$81:$C$156,ROW(A37)))</f>
        <v/>
      </c>
      <c r="B51" s="1" t="str">
        <f>IF($A51="","",IF(VLOOKUP($A51,'Teilnehmende - Starters'!$C:$Z,B$11,0)="","",SUBSTITUTE(VLOOKUP($A51,'Teilnehmende - Starters'!$C:$Z,B$11,0)," ","")))</f>
        <v/>
      </c>
      <c r="C51" s="1" t="str">
        <f>IF(A51="","",VLOOKUP(INT(A51/100),'Vereine - Clubs'!$C:$H,4,0))</f>
        <v/>
      </c>
      <c r="D51" s="1" t="str">
        <f>IF($A51="","",IF(VLOOKUP($A51,'Teilnehmende - Starters'!$C:$Z,D$11,0)="","",
IF(RIGHT(VLOOKUP($A51,'Teilnehmende - Starters'!$C:$Z,D$11,0),1)=" ",LEFT(VLOOKUP($A51,'Teilnehmende - Starters'!$C:$Z,D$11,0),LEN(VLOOKUP($A51,'Teilnehmende - Starters'!$C:$Z,D$11,0))-1),
VLOOKUP($A51,'Teilnehmende - Starters'!$C:$Z,D$11,0))))</f>
        <v/>
      </c>
      <c r="E51" s="1" t="str">
        <f>IF($A51="","",IF(VLOOKUP($A51,'Teilnehmende - Starters'!$C:$Z,E$11,0)="","",
IF(RIGHT(VLOOKUP($A51,'Teilnehmende - Starters'!$C:$Z,E$11,0),1)=" ",LEFT(VLOOKUP($A51,'Teilnehmende - Starters'!$C:$Z,E$11,0),LEN(VLOOKUP($A51,'Teilnehmende - Starters'!$C:$Z,E$11,0))-1),
VLOOKUP($A51,'Teilnehmende - Starters'!$C:$Z,E$11,0))))</f>
        <v/>
      </c>
      <c r="F51" s="72" t="str">
        <f>IF($A51="","",IF(VLOOKUP($A51,'Teilnehmende - Starters'!$C:$Z,F$11,0)="","",VLOOKUP($A51,'Teilnehmende - Starters'!$C:$Z,F$11,0)))</f>
        <v/>
      </c>
      <c r="G51" s="1" t="str">
        <f>IF($A51="","",IF(VLOOKUP($A51,'Teilnehmende - Starters'!$C:$Z,G$11,0)="","",VLOOKUP($A51,'Teilnehmende - Starters'!$C:$Z,G$11,0)))</f>
        <v/>
      </c>
      <c r="H51" s="1" t="str">
        <f>IF($A51="","",IF(VLOOKUP($A51,'Teilnehmende - Starters'!$C:$Z,H$11,0)="","",VLOOKUP($A51,'Teilnehmende - Starters'!$C:$Z,H$11,0)))</f>
        <v/>
      </c>
      <c r="I51" s="1" t="str">
        <f>IF($A51="","",IF(VLOOKUP($A51,'Teilnehmende - Starters'!$C:$Z,I$11,0)="","",VLOOKUP($A51,'Teilnehmende - Starters'!$C:$Z,I$11,0)))</f>
        <v/>
      </c>
      <c r="J51" s="1" t="str">
        <f>IF($A51="","",IF(VLOOKUP($A51,'Teilnehmende - Starters'!$C:$Z,J$11,0)="","",VLOOKUP($A51,'Teilnehmende - Starters'!$C:$Z,J$11,0)))</f>
        <v/>
      </c>
      <c r="K51" s="1" t="str">
        <f>IF($A51="","",IF(VLOOKUP($A51,'Teilnehmende - Starters'!$C:$Z,K$11,0)="","",VLOOKUP($A51,'Teilnehmende - Starters'!$C:$Z,K$11,0)))</f>
        <v/>
      </c>
      <c r="L51" s="1" t="str">
        <f>IF($A51="","",IF(VLOOKUP($A51,'Teilnehmende - Starters'!$C:$Z,L$11,0)="","",VLOOKUP($A51,'Teilnehmende - Starters'!$C:$Z,L$11,0)))</f>
        <v/>
      </c>
      <c r="M51" s="1" t="str">
        <f>IF($A51="","",IF(VLOOKUP($A51,'Teilnehmende - Starters'!$C:$Z,M$11,0)="","",VLOOKUP($A51,'Teilnehmende - Starters'!$C:$Z,M$11,0)))</f>
        <v/>
      </c>
      <c r="N51" s="17"/>
      <c r="O51" s="1" t="str">
        <f>IF(ISERROR(SMALL('Teilnehmende - Starters'!$D$81:$D$156,ROW(A37))),"",SMALL('Teilnehmende - Starters'!$D$81:$D$156,ROW(A37)))</f>
        <v/>
      </c>
      <c r="P51" s="1" t="str">
        <f>IF($O51="","",IF(VLOOKUP($O51,'Teilnehmende - Starters'!$D:$Z,P$11,0)="","",
IF(RIGHT(VLOOKUP($O51,'Teilnehmende - Starters'!$D:$Z,P$11,0),1)=" ",LEFT(VLOOKUP($O51,'Teilnehmende - Starters'!$D:$Z,P$11,0),LEN(VLOOKUP($O51,'Teilnehmende - Starters'!$D:$Z,P$11,0))-1),
VLOOKUP($O51,'Teilnehmende - Starters'!$D:$Z,P$11,0))))</f>
        <v/>
      </c>
      <c r="Q51" s="1" t="str">
        <f>IF($O51="","",IF(VLOOKUP($O51,'Teilnehmende - Starters'!$D:$Z,Q$11,0)="","",
IF(RIGHT(VLOOKUP($O51,'Teilnehmende - Starters'!$D:$Z,Q$11,0),1)=" ",LEFT(VLOOKUP($O51,'Teilnehmende - Starters'!$D:$Z,Q$11,0),LEN(VLOOKUP($O51,'Teilnehmende - Starters'!$D:$Z,Q$11,0))-1),
VLOOKUP($O51,'Teilnehmende - Starters'!$D:$Z,Q$11,0))))</f>
        <v/>
      </c>
      <c r="R51" s="1" t="str">
        <f t="shared" si="19"/>
        <v/>
      </c>
      <c r="S51" s="1" t="str">
        <f>IF($O51="","",IF(VLOOKUP($O51,'Teilnehmende - Starters'!$D:$Z,S$11,0)="","",VLOOKUP($O51,'Teilnehmende - Starters'!$D:$Z,S$11,0)))</f>
        <v/>
      </c>
      <c r="T51" s="1" t="str">
        <f>IF($O51="","",IF(VLOOKUP($O51,'Teilnehmende - Starters'!$D:$Z,T$11,0)="","",VLOOKUP($O51,'Teilnehmende - Starters'!$D:$Z,T$11,0)))</f>
        <v/>
      </c>
      <c r="U51" s="1" t="str">
        <f>IF($O51="","",IF(VLOOKUP(O51,'Teilnehmende - Starters'!$C:$I,7,0)="w",IF(OR(S51=20,S51=19),"DE","ME"),IF(OR(S51=20,S51=19),"HE","JE")))</f>
        <v/>
      </c>
      <c r="V51" s="1" t="str">
        <f t="shared" si="20"/>
        <v/>
      </c>
      <c r="W51" s="17"/>
      <c r="X51" s="1" t="str">
        <f>IF(ISERROR(SMALL('Teilnehmende - Starters'!$E$81:$E$156,ROW(A37))),"",SMALL('Teilnehmende - Starters'!$E$81:$E$156,ROW(A37)))</f>
        <v/>
      </c>
      <c r="Y51" s="1" t="str">
        <f>IF(X51="","",VLOOKUP(X51,'Teilnehmende - Starters'!$C:$Z,5,0)&amp;" "&amp;VLOOKUP(X51,'Teilnehmende - Starters'!$C:$Z,6,0))</f>
        <v/>
      </c>
      <c r="Z51" s="1" t="str">
        <f t="shared" si="21"/>
        <v/>
      </c>
      <c r="AA51" s="1" t="str">
        <f>IF(X51="","",IF(VLOOKUP(X51,'Teilnehmende - Starters'!$C:$Z,18,0)="Freimeldung",$A$2*100+99,VLOOKUP(Y51,'Teilnehmende - Starters'!$AA$5:$AD$80,4,FALSE)))</f>
        <v/>
      </c>
      <c r="AB51" s="1" t="str">
        <f>IF(AA51="","",IF(VLOOKUP(X51,'Teilnehmende - Starters'!$C:$Z,18,0)="Freimeldung","Freimeldung",VLOOKUP(AA51,$A$15:$E$77,4,0)&amp;" "&amp;VLOOKUP(AA51,$A$15:$E$77,5,0)))</f>
        <v/>
      </c>
      <c r="AC51" s="1" t="str">
        <f>IF(AA51="","",IF(VLOOKUP(X51,'Teilnehmende - Starters'!$C:$Z,18,0)="Freimeldung","",VLOOKUP(AA51,$A$15:$C$77,3,0)))</f>
        <v/>
      </c>
      <c r="AD51" s="1" t="str">
        <f>IF($X51="","",IF(VLOOKUP($X51,'Teilnehmende - Starters'!$C:$Z,AD$11,0)="","",VLOOKUP($X51,'Teilnehmende - Starters'!$C:$Z,AD$11,0)))</f>
        <v/>
      </c>
      <c r="AE51" s="1" t="str">
        <f>IF($X51="","",IF(VLOOKUP($X51,'Teilnehmende - Starters'!$C:$Z,AE$11,0)="","",VLOOKUP($X51,'Teilnehmende - Starters'!$C:$Z,AE$11,0)))</f>
        <v/>
      </c>
      <c r="AF51" s="1" t="str">
        <f>IF($X51="","",IF(VLOOKUP(X51,'Teilnehmende - Starters'!$C:$I,7,0)="w",IF(OR(AD51=20,AD51=19),"DD","MD"),IF(OR(AD51=20,AD51=19),"HD","JD")))</f>
        <v/>
      </c>
      <c r="AG51" s="1" t="str">
        <f t="shared" si="22"/>
        <v/>
      </c>
      <c r="AH51" s="17"/>
      <c r="AI51" s="1" t="str">
        <f>IF(ISERROR(SMALL('Teilnehmende - Starters'!$F$81:$F$156,ROW(#REF!))),"",SMALL('Teilnehmende - Starters'!$F$81:$F$156,ROW(#REF!)))</f>
        <v/>
      </c>
      <c r="AJ51" s="1" t="str">
        <f>IF(AI51="","",VLOOKUP(AI51,'Teilnehmende - Starters'!$C:$Z,5,0)&amp;" "&amp;VLOOKUP(AI51,'Teilnehmende - Starters'!$C:$Z,6,0))</f>
        <v/>
      </c>
      <c r="AK51" s="1" t="str">
        <f t="shared" si="23"/>
        <v/>
      </c>
      <c r="AL51" s="1" t="str">
        <f>IF(AI51="","",IF(VLOOKUP(AI51,'Teilnehmende - Starters'!$C:$AN,21,0)="Freimeldung",$A$2*100+99,VLOOKUP(AJ51,'Teilnehmende - Starters'!$AB$5:$AD$80,3,FALSE)))</f>
        <v/>
      </c>
      <c r="AM51" s="1" t="str">
        <f>IF(AL51="","",IF(VLOOKUP(AI51,'Teilnehmende - Starters'!$C:$Z,21,0)="Freimeldung","Freimeldung",VLOOKUP(AL51,$A$15:$E$77,4,0)&amp;" "&amp;VLOOKUP(AL51,$A$15:$E$77,5,0)))</f>
        <v/>
      </c>
      <c r="AN51" s="1" t="str">
        <f>IF(AL51="","",IF(VLOOKUP(AI51,'Teilnehmende - Starters'!$C:$Z,21,0)="Freimeldung","",VLOOKUP(AL51,$A$15:$C$77,3,0)))</f>
        <v/>
      </c>
      <c r="AO51" s="1" t="str">
        <f>IF($AI51="","",IF(VLOOKUP($AI51,'Teilnehmende - Starters'!$C:$Z,AO$11,0)="","",VLOOKUP($AI51,'Teilnehmende - Starters'!$C:$Z,AO$11,0)))</f>
        <v/>
      </c>
      <c r="AP51" s="1" t="str">
        <f>IF($AI51="","",IF(VLOOKUP($AI51,'Teilnehmende - Starters'!$C:$Z,AP$11,0)="","",VLOOKUP($AI51,'Teilnehmende - Starters'!$C:$Z,AP$11,0)))</f>
        <v/>
      </c>
      <c r="AQ51" s="1" t="str">
        <f t="shared" si="17"/>
        <v/>
      </c>
      <c r="AR51" s="1" t="str">
        <f t="shared" si="24"/>
        <v/>
      </c>
    </row>
    <row r="52" spans="1:44" x14ac:dyDescent="0.3">
      <c r="A52" s="1" t="str">
        <f>IF(ISERROR(SMALL('Teilnehmende - Starters'!$C$81:$C$156,ROW(A38))),"",SMALL('Teilnehmende - Starters'!$C$81:$C$156,ROW(A38)))</f>
        <v/>
      </c>
      <c r="B52" s="1" t="str">
        <f>IF($A52="","",IF(VLOOKUP($A52,'Teilnehmende - Starters'!$C:$Z,B$11,0)="","",SUBSTITUTE(VLOOKUP($A52,'Teilnehmende - Starters'!$C:$Z,B$11,0)," ","")))</f>
        <v/>
      </c>
      <c r="C52" s="1" t="str">
        <f>IF(A52="","",VLOOKUP(INT(A52/100),'Vereine - Clubs'!$C:$H,4,0))</f>
        <v/>
      </c>
      <c r="D52" s="1" t="str">
        <f>IF($A52="","",IF(VLOOKUP($A52,'Teilnehmende - Starters'!$C:$Z,D$11,0)="","",
IF(RIGHT(VLOOKUP($A52,'Teilnehmende - Starters'!$C:$Z,D$11,0),1)=" ",LEFT(VLOOKUP($A52,'Teilnehmende - Starters'!$C:$Z,D$11,0),LEN(VLOOKUP($A52,'Teilnehmende - Starters'!$C:$Z,D$11,0))-1),
VLOOKUP($A52,'Teilnehmende - Starters'!$C:$Z,D$11,0))))</f>
        <v/>
      </c>
      <c r="E52" s="1" t="str">
        <f>IF($A52="","",IF(VLOOKUP($A52,'Teilnehmende - Starters'!$C:$Z,E$11,0)="","",
IF(RIGHT(VLOOKUP($A52,'Teilnehmende - Starters'!$C:$Z,E$11,0),1)=" ",LEFT(VLOOKUP($A52,'Teilnehmende - Starters'!$C:$Z,E$11,0),LEN(VLOOKUP($A52,'Teilnehmende - Starters'!$C:$Z,E$11,0))-1),
VLOOKUP($A52,'Teilnehmende - Starters'!$C:$Z,E$11,0))))</f>
        <v/>
      </c>
      <c r="F52" s="72" t="str">
        <f>IF($A52="","",IF(VLOOKUP($A52,'Teilnehmende - Starters'!$C:$Z,F$11,0)="","",VLOOKUP($A52,'Teilnehmende - Starters'!$C:$Z,F$11,0)))</f>
        <v/>
      </c>
      <c r="G52" s="1" t="str">
        <f>IF($A52="","",IF(VLOOKUP($A52,'Teilnehmende - Starters'!$C:$Z,G$11,0)="","",VLOOKUP($A52,'Teilnehmende - Starters'!$C:$Z,G$11,0)))</f>
        <v/>
      </c>
      <c r="H52" s="1" t="str">
        <f>IF($A52="","",IF(VLOOKUP($A52,'Teilnehmende - Starters'!$C:$Z,H$11,0)="","",VLOOKUP($A52,'Teilnehmende - Starters'!$C:$Z,H$11,0)))</f>
        <v/>
      </c>
      <c r="I52" s="1" t="str">
        <f>IF($A52="","",IF(VLOOKUP($A52,'Teilnehmende - Starters'!$C:$Z,I$11,0)="","",VLOOKUP($A52,'Teilnehmende - Starters'!$C:$Z,I$11,0)))</f>
        <v/>
      </c>
      <c r="J52" s="1" t="str">
        <f>IF($A52="","",IF(VLOOKUP($A52,'Teilnehmende - Starters'!$C:$Z,J$11,0)="","",VLOOKUP($A52,'Teilnehmende - Starters'!$C:$Z,J$11,0)))</f>
        <v/>
      </c>
      <c r="K52" s="1" t="str">
        <f>IF($A52="","",IF(VLOOKUP($A52,'Teilnehmende - Starters'!$C:$Z,K$11,0)="","",VLOOKUP($A52,'Teilnehmende - Starters'!$C:$Z,K$11,0)))</f>
        <v/>
      </c>
      <c r="L52" s="1" t="str">
        <f>IF($A52="","",IF(VLOOKUP($A52,'Teilnehmende - Starters'!$C:$Z,L$11,0)="","",VLOOKUP($A52,'Teilnehmende - Starters'!$C:$Z,L$11,0)))</f>
        <v/>
      </c>
      <c r="M52" s="1" t="str">
        <f>IF($A52="","",IF(VLOOKUP($A52,'Teilnehmende - Starters'!$C:$Z,M$11,0)="","",VLOOKUP($A52,'Teilnehmende - Starters'!$C:$Z,M$11,0)))</f>
        <v/>
      </c>
      <c r="N52" s="17"/>
      <c r="O52" s="1" t="str">
        <f>IF(ISERROR(SMALL('Teilnehmende - Starters'!$D$81:$D$156,ROW(A38))),"",SMALL('Teilnehmende - Starters'!$D$81:$D$156,ROW(A38)))</f>
        <v/>
      </c>
      <c r="P52" s="1" t="str">
        <f>IF($O52="","",IF(VLOOKUP($O52,'Teilnehmende - Starters'!$D:$Z,P$11,0)="","",
IF(RIGHT(VLOOKUP($O52,'Teilnehmende - Starters'!$D:$Z,P$11,0),1)=" ",LEFT(VLOOKUP($O52,'Teilnehmende - Starters'!$D:$Z,P$11,0),LEN(VLOOKUP($O52,'Teilnehmende - Starters'!$D:$Z,P$11,0))-1),
VLOOKUP($O52,'Teilnehmende - Starters'!$D:$Z,P$11,0))))</f>
        <v/>
      </c>
      <c r="Q52" s="1" t="str">
        <f>IF($O52="","",IF(VLOOKUP($O52,'Teilnehmende - Starters'!$D:$Z,Q$11,0)="","",
IF(RIGHT(VLOOKUP($O52,'Teilnehmende - Starters'!$D:$Z,Q$11,0),1)=" ",LEFT(VLOOKUP($O52,'Teilnehmende - Starters'!$D:$Z,Q$11,0),LEN(VLOOKUP($O52,'Teilnehmende - Starters'!$D:$Z,Q$11,0))-1),
VLOOKUP($O52,'Teilnehmende - Starters'!$D:$Z,Q$11,0))))</f>
        <v/>
      </c>
      <c r="R52" s="1" t="str">
        <f t="shared" si="19"/>
        <v/>
      </c>
      <c r="S52" s="1" t="str">
        <f>IF($O52="","",IF(VLOOKUP($O52,'Teilnehmende - Starters'!$D:$Z,S$11,0)="","",VLOOKUP($O52,'Teilnehmende - Starters'!$D:$Z,S$11,0)))</f>
        <v/>
      </c>
      <c r="T52" s="1" t="str">
        <f>IF($O52="","",IF(VLOOKUP($O52,'Teilnehmende - Starters'!$D:$Z,T$11,0)="","",VLOOKUP($O52,'Teilnehmende - Starters'!$D:$Z,T$11,0)))</f>
        <v/>
      </c>
      <c r="U52" s="1" t="str">
        <f>IF($O52="","",IF(VLOOKUP(O52,'Teilnehmende - Starters'!$C:$I,7,0)="w",IF(OR(S52=20,S52=19),"DE","ME"),IF(OR(S52=20,S52=19),"HE","JE")))</f>
        <v/>
      </c>
      <c r="V52" s="1" t="str">
        <f t="shared" si="20"/>
        <v/>
      </c>
      <c r="W52" s="17"/>
      <c r="X52" s="1" t="str">
        <f>IF(ISERROR(SMALL('Teilnehmende - Starters'!$E$81:$E$156,ROW(A38))),"",SMALL('Teilnehmende - Starters'!$E$81:$E$156,ROW(A38)))</f>
        <v/>
      </c>
      <c r="Y52" s="1" t="str">
        <f>IF(X52="","",VLOOKUP(X52,'Teilnehmende - Starters'!$C:$Z,5,0)&amp;" "&amp;VLOOKUP(X52,'Teilnehmende - Starters'!$C:$Z,6,0))</f>
        <v/>
      </c>
      <c r="Z52" s="1" t="str">
        <f t="shared" si="21"/>
        <v/>
      </c>
      <c r="AA52" s="1" t="str">
        <f>IF(X52="","",IF(VLOOKUP(X52,'Teilnehmende - Starters'!$C:$Z,18,0)="Freimeldung",$A$2*100+99,VLOOKUP(Y52,'Teilnehmende - Starters'!$AA$5:$AD$80,4,FALSE)))</f>
        <v/>
      </c>
      <c r="AB52" s="1" t="str">
        <f>IF(AA52="","",IF(VLOOKUP(X52,'Teilnehmende - Starters'!$C:$Z,18,0)="Freimeldung","Freimeldung",VLOOKUP(AA52,$A$15:$E$77,4,0)&amp;" "&amp;VLOOKUP(AA52,$A$15:$E$77,5,0)))</f>
        <v/>
      </c>
      <c r="AC52" s="1" t="str">
        <f>IF(AA52="","",IF(VLOOKUP(X52,'Teilnehmende - Starters'!$C:$Z,18,0)="Freimeldung","",VLOOKUP(AA52,$A$15:$C$77,3,0)))</f>
        <v/>
      </c>
      <c r="AD52" s="1" t="str">
        <f>IF($X52="","",IF(VLOOKUP($X52,'Teilnehmende - Starters'!$C:$Z,AD$11,0)="","",VLOOKUP($X52,'Teilnehmende - Starters'!$C:$Z,AD$11,0)))</f>
        <v/>
      </c>
      <c r="AE52" s="1" t="str">
        <f>IF($X52="","",IF(VLOOKUP($X52,'Teilnehmende - Starters'!$C:$Z,AE$11,0)="","",VLOOKUP($X52,'Teilnehmende - Starters'!$C:$Z,AE$11,0)))</f>
        <v/>
      </c>
      <c r="AF52" s="1" t="str">
        <f>IF($X52="","",IF(VLOOKUP(X52,'Teilnehmende - Starters'!$C:$I,7,0)="w",IF(OR(AD52=20,AD52=19),"DD","MD"),IF(OR(AD52=20,AD52=19),"HD","JD")))</f>
        <v/>
      </c>
      <c r="AG52" s="1" t="str">
        <f t="shared" si="22"/>
        <v/>
      </c>
      <c r="AH52" s="17"/>
      <c r="AI52" s="1" t="str">
        <f>IF(ISERROR(SMALL('Teilnehmende - Starters'!$F$81:$F$156,ROW(#REF!))),"",SMALL('Teilnehmende - Starters'!$F$81:$F$156,ROW(#REF!)))</f>
        <v/>
      </c>
      <c r="AJ52" s="1" t="str">
        <f>IF(AI52="","",VLOOKUP(AI52,'Teilnehmende - Starters'!$C:$Z,5,0)&amp;" "&amp;VLOOKUP(AI52,'Teilnehmende - Starters'!$C:$Z,6,0))</f>
        <v/>
      </c>
      <c r="AK52" s="1" t="str">
        <f t="shared" si="23"/>
        <v/>
      </c>
      <c r="AL52" s="1" t="str">
        <f>IF(AI52="","",IF(VLOOKUP(AI52,'Teilnehmende - Starters'!$C:$AN,21,0)="Freimeldung",$A$2*100+99,VLOOKUP(AJ52,'Teilnehmende - Starters'!$AB$5:$AD$80,3,FALSE)))</f>
        <v/>
      </c>
      <c r="AM52" s="1" t="str">
        <f>IF(AL52="","",IF(VLOOKUP(AI52,'Teilnehmende - Starters'!$C:$Z,21,0)="Freimeldung","Freimeldung",VLOOKUP(AL52,$A$15:$E$77,4,0)&amp;" "&amp;VLOOKUP(AL52,$A$15:$E$77,5,0)))</f>
        <v/>
      </c>
      <c r="AN52" s="1" t="str">
        <f>IF(AL52="","",IF(VLOOKUP(AI52,'Teilnehmende - Starters'!$C:$Z,21,0)="Freimeldung","",VLOOKUP(AL52,$A$15:$C$77,3,0)))</f>
        <v/>
      </c>
      <c r="AO52" s="1" t="str">
        <f>IF($AI52="","",IF(VLOOKUP($AI52,'Teilnehmende - Starters'!$C:$Z,AO$11,0)="","",VLOOKUP($AI52,'Teilnehmende - Starters'!$C:$Z,AO$11,0)))</f>
        <v/>
      </c>
      <c r="AP52" s="1" t="str">
        <f>IF($AI52="","",IF(VLOOKUP($AI52,'Teilnehmende - Starters'!$C:$Z,AP$11,0)="","",VLOOKUP($AI52,'Teilnehmende - Starters'!$C:$Z,AP$11,0)))</f>
        <v/>
      </c>
      <c r="AQ52" s="1" t="str">
        <f t="shared" si="17"/>
        <v/>
      </c>
      <c r="AR52" s="1" t="str">
        <f t="shared" si="24"/>
        <v/>
      </c>
    </row>
    <row r="53" spans="1:44" x14ac:dyDescent="0.3">
      <c r="A53" s="1" t="str">
        <f>IF(ISERROR(SMALL('Teilnehmende - Starters'!$C$81:$C$156,ROW(A39))),"",SMALL('Teilnehmende - Starters'!$C$81:$C$156,ROW(A39)))</f>
        <v/>
      </c>
      <c r="B53" s="1" t="str">
        <f>IF($A53="","",IF(VLOOKUP($A53,'Teilnehmende - Starters'!$C:$Z,B$11,0)="","",SUBSTITUTE(VLOOKUP($A53,'Teilnehmende - Starters'!$C:$Z,B$11,0)," ","")))</f>
        <v/>
      </c>
      <c r="C53" s="1" t="str">
        <f>IF(A53="","",VLOOKUP(INT(A53/100),'Vereine - Clubs'!$C:$H,4,0))</f>
        <v/>
      </c>
      <c r="D53" s="1" t="str">
        <f>IF($A53="","",IF(VLOOKUP($A53,'Teilnehmende - Starters'!$C:$Z,D$11,0)="","",
IF(RIGHT(VLOOKUP($A53,'Teilnehmende - Starters'!$C:$Z,D$11,0),1)=" ",LEFT(VLOOKUP($A53,'Teilnehmende - Starters'!$C:$Z,D$11,0),LEN(VLOOKUP($A53,'Teilnehmende - Starters'!$C:$Z,D$11,0))-1),
VLOOKUP($A53,'Teilnehmende - Starters'!$C:$Z,D$11,0))))</f>
        <v/>
      </c>
      <c r="E53" s="1" t="str">
        <f>IF($A53="","",IF(VLOOKUP($A53,'Teilnehmende - Starters'!$C:$Z,E$11,0)="","",
IF(RIGHT(VLOOKUP($A53,'Teilnehmende - Starters'!$C:$Z,E$11,0),1)=" ",LEFT(VLOOKUP($A53,'Teilnehmende - Starters'!$C:$Z,E$11,0),LEN(VLOOKUP($A53,'Teilnehmende - Starters'!$C:$Z,E$11,0))-1),
VLOOKUP($A53,'Teilnehmende - Starters'!$C:$Z,E$11,0))))</f>
        <v/>
      </c>
      <c r="F53" s="72" t="str">
        <f>IF($A53="","",IF(VLOOKUP($A53,'Teilnehmende - Starters'!$C:$Z,F$11,0)="","",VLOOKUP($A53,'Teilnehmende - Starters'!$C:$Z,F$11,0)))</f>
        <v/>
      </c>
      <c r="G53" s="1" t="str">
        <f>IF($A53="","",IF(VLOOKUP($A53,'Teilnehmende - Starters'!$C:$Z,G$11,0)="","",VLOOKUP($A53,'Teilnehmende - Starters'!$C:$Z,G$11,0)))</f>
        <v/>
      </c>
      <c r="H53" s="1" t="str">
        <f>IF($A53="","",IF(VLOOKUP($A53,'Teilnehmende - Starters'!$C:$Z,H$11,0)="","",VLOOKUP($A53,'Teilnehmende - Starters'!$C:$Z,H$11,0)))</f>
        <v/>
      </c>
      <c r="I53" s="1" t="str">
        <f>IF($A53="","",IF(VLOOKUP($A53,'Teilnehmende - Starters'!$C:$Z,I$11,0)="","",VLOOKUP($A53,'Teilnehmende - Starters'!$C:$Z,I$11,0)))</f>
        <v/>
      </c>
      <c r="J53" s="1" t="str">
        <f>IF($A53="","",IF(VLOOKUP($A53,'Teilnehmende - Starters'!$C:$Z,J$11,0)="","",VLOOKUP($A53,'Teilnehmende - Starters'!$C:$Z,J$11,0)))</f>
        <v/>
      </c>
      <c r="K53" s="1" t="str">
        <f>IF($A53="","",IF(VLOOKUP($A53,'Teilnehmende - Starters'!$C:$Z,K$11,0)="","",VLOOKUP($A53,'Teilnehmende - Starters'!$C:$Z,K$11,0)))</f>
        <v/>
      </c>
      <c r="L53" s="1" t="str">
        <f>IF($A53="","",IF(VLOOKUP($A53,'Teilnehmende - Starters'!$C:$Z,L$11,0)="","",VLOOKUP($A53,'Teilnehmende - Starters'!$C:$Z,L$11,0)))</f>
        <v/>
      </c>
      <c r="M53" s="1" t="str">
        <f>IF($A53="","",IF(VLOOKUP($A53,'Teilnehmende - Starters'!$C:$Z,M$11,0)="","",VLOOKUP($A53,'Teilnehmende - Starters'!$C:$Z,M$11,0)))</f>
        <v/>
      </c>
      <c r="N53" s="17"/>
      <c r="O53" s="1" t="str">
        <f>IF(ISERROR(SMALL('Teilnehmende - Starters'!$D$81:$D$156,ROW(A39))),"",SMALL('Teilnehmende - Starters'!$D$81:$D$156,ROW(A39)))</f>
        <v/>
      </c>
      <c r="P53" s="1" t="str">
        <f>IF($O53="","",IF(VLOOKUP($O53,'Teilnehmende - Starters'!$D:$Z,P$11,0)="","",
IF(RIGHT(VLOOKUP($O53,'Teilnehmende - Starters'!$D:$Z,P$11,0),1)=" ",LEFT(VLOOKUP($O53,'Teilnehmende - Starters'!$D:$Z,P$11,0),LEN(VLOOKUP($O53,'Teilnehmende - Starters'!$D:$Z,P$11,0))-1),
VLOOKUP($O53,'Teilnehmende - Starters'!$D:$Z,P$11,0))))</f>
        <v/>
      </c>
      <c r="Q53" s="1" t="str">
        <f>IF($O53="","",IF(VLOOKUP($O53,'Teilnehmende - Starters'!$D:$Z,Q$11,0)="","",
IF(RIGHT(VLOOKUP($O53,'Teilnehmende - Starters'!$D:$Z,Q$11,0),1)=" ",LEFT(VLOOKUP($O53,'Teilnehmende - Starters'!$D:$Z,Q$11,0),LEN(VLOOKUP($O53,'Teilnehmende - Starters'!$D:$Z,Q$11,0))-1),
VLOOKUP($O53,'Teilnehmende - Starters'!$D:$Z,Q$11,0))))</f>
        <v/>
      </c>
      <c r="R53" s="1" t="str">
        <f t="shared" si="19"/>
        <v/>
      </c>
      <c r="S53" s="1" t="str">
        <f>IF($O53="","",IF(VLOOKUP($O53,'Teilnehmende - Starters'!$D:$Z,S$11,0)="","",VLOOKUP($O53,'Teilnehmende - Starters'!$D:$Z,S$11,0)))</f>
        <v/>
      </c>
      <c r="T53" s="1" t="str">
        <f>IF($O53="","",IF(VLOOKUP($O53,'Teilnehmende - Starters'!$D:$Z,T$11,0)="","",VLOOKUP($O53,'Teilnehmende - Starters'!$D:$Z,T$11,0)))</f>
        <v/>
      </c>
      <c r="U53" s="1" t="str">
        <f>IF($O53="","",IF(VLOOKUP(O53,'Teilnehmende - Starters'!$C:$I,7,0)="w",IF(OR(S53=20,S53=19),"DE","ME"),IF(OR(S53=20,S53=19),"HE","JE")))</f>
        <v/>
      </c>
      <c r="V53" s="1" t="str">
        <f t="shared" si="20"/>
        <v/>
      </c>
      <c r="W53" s="17"/>
      <c r="X53" s="1" t="str">
        <f>IF(ISERROR(SMALL('Teilnehmende - Starters'!$E$81:$E$156,ROW(A39))),"",SMALL('Teilnehmende - Starters'!$E$81:$E$156,ROW(A39)))</f>
        <v/>
      </c>
      <c r="Y53" s="1" t="str">
        <f>IF(X53="","",VLOOKUP(X53,'Teilnehmende - Starters'!$C:$Z,5,0)&amp;" "&amp;VLOOKUP(X53,'Teilnehmende - Starters'!$C:$Z,6,0))</f>
        <v/>
      </c>
      <c r="Z53" s="1" t="str">
        <f t="shared" si="21"/>
        <v/>
      </c>
      <c r="AA53" s="1" t="str">
        <f>IF(X53="","",IF(VLOOKUP(X53,'Teilnehmende - Starters'!$C:$Z,18,0)="Freimeldung",$A$2*100+99,VLOOKUP(Y53,'Teilnehmende - Starters'!$AA$5:$AD$80,4,FALSE)))</f>
        <v/>
      </c>
      <c r="AB53" s="1" t="str">
        <f>IF(AA53="","",IF(VLOOKUP(X53,'Teilnehmende - Starters'!$C:$Z,18,0)="Freimeldung","Freimeldung",VLOOKUP(AA53,$A$15:$E$77,4,0)&amp;" "&amp;VLOOKUP(AA53,$A$15:$E$77,5,0)))</f>
        <v/>
      </c>
      <c r="AC53" s="1" t="str">
        <f>IF(AA53="","",IF(VLOOKUP(X53,'Teilnehmende - Starters'!$C:$Z,18,0)="Freimeldung","",VLOOKUP(AA53,$A$15:$C$77,3,0)))</f>
        <v/>
      </c>
      <c r="AD53" s="1" t="str">
        <f>IF($X53="","",IF(VLOOKUP($X53,'Teilnehmende - Starters'!$C:$Z,AD$11,0)="","",VLOOKUP($X53,'Teilnehmende - Starters'!$C:$Z,AD$11,0)))</f>
        <v/>
      </c>
      <c r="AE53" s="1" t="str">
        <f>IF($X53="","",IF(VLOOKUP($X53,'Teilnehmende - Starters'!$C:$Z,AE$11,0)="","",VLOOKUP($X53,'Teilnehmende - Starters'!$C:$Z,AE$11,0)))</f>
        <v/>
      </c>
      <c r="AF53" s="1" t="str">
        <f>IF($X53="","",IF(VLOOKUP(X53,'Teilnehmende - Starters'!$C:$I,7,0)="w",IF(OR(AD53=20,AD53=19),"DD","MD"),IF(OR(AD53=20,AD53=19),"HD","JD")))</f>
        <v/>
      </c>
      <c r="AG53" s="1" t="str">
        <f t="shared" si="22"/>
        <v/>
      </c>
      <c r="AH53" s="17"/>
      <c r="AI53" s="1" t="str">
        <f>IF(ISERROR(SMALL('Teilnehmende - Starters'!$F$81:$F$156,ROW(#REF!))),"",SMALL('Teilnehmende - Starters'!$F$81:$F$156,ROW(#REF!)))</f>
        <v/>
      </c>
      <c r="AJ53" s="1" t="str">
        <f>IF(AI53="","",VLOOKUP(AI53,'Teilnehmende - Starters'!$C:$Z,5,0)&amp;" "&amp;VLOOKUP(AI53,'Teilnehmende - Starters'!$C:$Z,6,0))</f>
        <v/>
      </c>
      <c r="AK53" s="1" t="str">
        <f t="shared" si="23"/>
        <v/>
      </c>
      <c r="AL53" s="1" t="str">
        <f>IF(AI53="","",IF(VLOOKUP(AI53,'Teilnehmende - Starters'!$C:$AN,21,0)="Freimeldung",$A$2*100+99,VLOOKUP(AJ53,'Teilnehmende - Starters'!$AB$5:$AD$80,3,FALSE)))</f>
        <v/>
      </c>
      <c r="AM53" s="1" t="str">
        <f>IF(AL53="","",IF(VLOOKUP(AI53,'Teilnehmende - Starters'!$C:$Z,21,0)="Freimeldung","Freimeldung",VLOOKUP(AL53,$A$15:$E$77,4,0)&amp;" "&amp;VLOOKUP(AL53,$A$15:$E$77,5,0)))</f>
        <v/>
      </c>
      <c r="AN53" s="1" t="str">
        <f>IF(AL53="","",IF(VLOOKUP(AI53,'Teilnehmende - Starters'!$C:$Z,21,0)="Freimeldung","",VLOOKUP(AL53,$A$15:$C$77,3,0)))</f>
        <v/>
      </c>
      <c r="AO53" s="1" t="str">
        <f>IF($AI53="","",IF(VLOOKUP($AI53,'Teilnehmende - Starters'!$C:$Z,AO$11,0)="","",VLOOKUP($AI53,'Teilnehmende - Starters'!$C:$Z,AO$11,0)))</f>
        <v/>
      </c>
      <c r="AP53" s="1" t="str">
        <f>IF($AI53="","",IF(VLOOKUP($AI53,'Teilnehmende - Starters'!$C:$Z,AP$11,0)="","",VLOOKUP($AI53,'Teilnehmende - Starters'!$C:$Z,AP$11,0)))</f>
        <v/>
      </c>
      <c r="AQ53" s="1" t="str">
        <f t="shared" si="17"/>
        <v/>
      </c>
      <c r="AR53" s="1" t="str">
        <f t="shared" si="24"/>
        <v/>
      </c>
    </row>
    <row r="54" spans="1:44" x14ac:dyDescent="0.3">
      <c r="A54" s="1" t="str">
        <f>IF(ISERROR(SMALL('Teilnehmende - Starters'!$C$81:$C$156,ROW(A40))),"",SMALL('Teilnehmende - Starters'!$C$81:$C$156,ROW(A40)))</f>
        <v/>
      </c>
      <c r="B54" s="1" t="str">
        <f>IF($A54="","",IF(VLOOKUP($A54,'Teilnehmende - Starters'!$C:$Z,B$11,0)="","",SUBSTITUTE(VLOOKUP($A54,'Teilnehmende - Starters'!$C:$Z,B$11,0)," ","")))</f>
        <v/>
      </c>
      <c r="C54" s="1" t="str">
        <f>IF(A54="","",VLOOKUP(INT(A54/100),'Vereine - Clubs'!$C:$H,4,0))</f>
        <v/>
      </c>
      <c r="D54" s="1" t="str">
        <f>IF($A54="","",IF(VLOOKUP($A54,'Teilnehmende - Starters'!$C:$Z,D$11,0)="","",
IF(RIGHT(VLOOKUP($A54,'Teilnehmende - Starters'!$C:$Z,D$11,0),1)=" ",LEFT(VLOOKUP($A54,'Teilnehmende - Starters'!$C:$Z,D$11,0),LEN(VLOOKUP($A54,'Teilnehmende - Starters'!$C:$Z,D$11,0))-1),
VLOOKUP($A54,'Teilnehmende - Starters'!$C:$Z,D$11,0))))</f>
        <v/>
      </c>
      <c r="E54" s="1" t="str">
        <f>IF($A54="","",IF(VLOOKUP($A54,'Teilnehmende - Starters'!$C:$Z,E$11,0)="","",
IF(RIGHT(VLOOKUP($A54,'Teilnehmende - Starters'!$C:$Z,E$11,0),1)=" ",LEFT(VLOOKUP($A54,'Teilnehmende - Starters'!$C:$Z,E$11,0),LEN(VLOOKUP($A54,'Teilnehmende - Starters'!$C:$Z,E$11,0))-1),
VLOOKUP($A54,'Teilnehmende - Starters'!$C:$Z,E$11,0))))</f>
        <v/>
      </c>
      <c r="F54" s="72" t="str">
        <f>IF($A54="","",IF(VLOOKUP($A54,'Teilnehmende - Starters'!$C:$Z,F$11,0)="","",VLOOKUP($A54,'Teilnehmende - Starters'!$C:$Z,F$11,0)))</f>
        <v/>
      </c>
      <c r="G54" s="1" t="str">
        <f>IF($A54="","",IF(VLOOKUP($A54,'Teilnehmende - Starters'!$C:$Z,G$11,0)="","",VLOOKUP($A54,'Teilnehmende - Starters'!$C:$Z,G$11,0)))</f>
        <v/>
      </c>
      <c r="H54" s="1" t="str">
        <f>IF($A54="","",IF(VLOOKUP($A54,'Teilnehmende - Starters'!$C:$Z,H$11,0)="","",VLOOKUP($A54,'Teilnehmende - Starters'!$C:$Z,H$11,0)))</f>
        <v/>
      </c>
      <c r="I54" s="1" t="str">
        <f>IF($A54="","",IF(VLOOKUP($A54,'Teilnehmende - Starters'!$C:$Z,I$11,0)="","",VLOOKUP($A54,'Teilnehmende - Starters'!$C:$Z,I$11,0)))</f>
        <v/>
      </c>
      <c r="J54" s="1" t="str">
        <f>IF($A54="","",IF(VLOOKUP($A54,'Teilnehmende - Starters'!$C:$Z,J$11,0)="","",VLOOKUP($A54,'Teilnehmende - Starters'!$C:$Z,J$11,0)))</f>
        <v/>
      </c>
      <c r="K54" s="1" t="str">
        <f>IF($A54="","",IF(VLOOKUP($A54,'Teilnehmende - Starters'!$C:$Z,K$11,0)="","",VLOOKUP($A54,'Teilnehmende - Starters'!$C:$Z,K$11,0)))</f>
        <v/>
      </c>
      <c r="L54" s="1" t="str">
        <f>IF($A54="","",IF(VLOOKUP($A54,'Teilnehmende - Starters'!$C:$Z,L$11,0)="","",VLOOKUP($A54,'Teilnehmende - Starters'!$C:$Z,L$11,0)))</f>
        <v/>
      </c>
      <c r="M54" s="1" t="str">
        <f>IF($A54="","",IF(VLOOKUP($A54,'Teilnehmende - Starters'!$C:$Z,M$11,0)="","",VLOOKUP($A54,'Teilnehmende - Starters'!$C:$Z,M$11,0)))</f>
        <v/>
      </c>
      <c r="N54" s="17"/>
      <c r="O54" s="1" t="str">
        <f>IF(ISERROR(SMALL('Teilnehmende - Starters'!$D$81:$D$156,ROW(A40))),"",SMALL('Teilnehmende - Starters'!$D$81:$D$156,ROW(A40)))</f>
        <v/>
      </c>
      <c r="P54" s="1" t="str">
        <f>IF($O54="","",IF(VLOOKUP($O54,'Teilnehmende - Starters'!$D:$Z,P$11,0)="","",
IF(RIGHT(VLOOKUP($O54,'Teilnehmende - Starters'!$D:$Z,P$11,0),1)=" ",LEFT(VLOOKUP($O54,'Teilnehmende - Starters'!$D:$Z,P$11,0),LEN(VLOOKUP($O54,'Teilnehmende - Starters'!$D:$Z,P$11,0))-1),
VLOOKUP($O54,'Teilnehmende - Starters'!$D:$Z,P$11,0))))</f>
        <v/>
      </c>
      <c r="Q54" s="1" t="str">
        <f>IF($O54="","",IF(VLOOKUP($O54,'Teilnehmende - Starters'!$D:$Z,Q$11,0)="","",
IF(RIGHT(VLOOKUP($O54,'Teilnehmende - Starters'!$D:$Z,Q$11,0),1)=" ",LEFT(VLOOKUP($O54,'Teilnehmende - Starters'!$D:$Z,Q$11,0),LEN(VLOOKUP($O54,'Teilnehmende - Starters'!$D:$Z,Q$11,0))-1),
VLOOKUP($O54,'Teilnehmende - Starters'!$D:$Z,Q$11,0))))</f>
        <v/>
      </c>
      <c r="R54" s="1" t="str">
        <f t="shared" si="19"/>
        <v/>
      </c>
      <c r="S54" s="1" t="str">
        <f>IF($O54="","",IF(VLOOKUP($O54,'Teilnehmende - Starters'!$D:$Z,S$11,0)="","",VLOOKUP($O54,'Teilnehmende - Starters'!$D:$Z,S$11,0)))</f>
        <v/>
      </c>
      <c r="T54" s="1" t="str">
        <f>IF($O54="","",IF(VLOOKUP($O54,'Teilnehmende - Starters'!$D:$Z,T$11,0)="","",VLOOKUP($O54,'Teilnehmende - Starters'!$D:$Z,T$11,0)))</f>
        <v/>
      </c>
      <c r="U54" s="1" t="str">
        <f>IF($O54="","",IF(VLOOKUP(O54,'Teilnehmende - Starters'!$C:$I,7,0)="w",IF(OR(S54=20,S54=19),"DE","ME"),IF(OR(S54=20,S54=19),"HE","JE")))</f>
        <v/>
      </c>
      <c r="V54" s="1" t="str">
        <f t="shared" si="20"/>
        <v/>
      </c>
      <c r="W54" s="17"/>
      <c r="X54" s="1" t="str">
        <f>IF(ISERROR(SMALL('Teilnehmende - Starters'!$E$81:$E$156,ROW(A40))),"",SMALL('Teilnehmende - Starters'!$E$81:$E$156,ROW(A40)))</f>
        <v/>
      </c>
      <c r="Y54" s="1" t="str">
        <f>IF(X54="","",VLOOKUP(X54,'Teilnehmende - Starters'!$C:$Z,5,0)&amp;" "&amp;VLOOKUP(X54,'Teilnehmende - Starters'!$C:$Z,6,0))</f>
        <v/>
      </c>
      <c r="Z54" s="1" t="str">
        <f t="shared" si="21"/>
        <v/>
      </c>
      <c r="AA54" s="1" t="str">
        <f>IF(X54="","",IF(VLOOKUP(X54,'Teilnehmende - Starters'!$C:$Z,18,0)="Freimeldung",$A$2*100+99,VLOOKUP(Y54,'Teilnehmende - Starters'!$AA$5:$AD$80,4,FALSE)))</f>
        <v/>
      </c>
      <c r="AB54" s="1" t="str">
        <f>IF(AA54="","",IF(VLOOKUP(X54,'Teilnehmende - Starters'!$C:$Z,18,0)="Freimeldung","Freimeldung",VLOOKUP(AA54,$A$15:$E$77,4,0)&amp;" "&amp;VLOOKUP(AA54,$A$15:$E$77,5,0)))</f>
        <v/>
      </c>
      <c r="AC54" s="1" t="str">
        <f>IF(AA54="","",IF(VLOOKUP(X54,'Teilnehmende - Starters'!$C:$Z,18,0)="Freimeldung","",VLOOKUP(AA54,$A$15:$C$77,3,0)))</f>
        <v/>
      </c>
      <c r="AD54" s="1" t="str">
        <f>IF($X54="","",IF(VLOOKUP($X54,'Teilnehmende - Starters'!$C:$Z,AD$11,0)="","",VLOOKUP($X54,'Teilnehmende - Starters'!$C:$Z,AD$11,0)))</f>
        <v/>
      </c>
      <c r="AE54" s="1" t="str">
        <f>IF($X54="","",IF(VLOOKUP($X54,'Teilnehmende - Starters'!$C:$Z,AE$11,0)="","",VLOOKUP($X54,'Teilnehmende - Starters'!$C:$Z,AE$11,0)))</f>
        <v/>
      </c>
      <c r="AF54" s="1" t="str">
        <f>IF($X54="","",IF(VLOOKUP(X54,'Teilnehmende - Starters'!$C:$I,7,0)="w",IF(OR(AD54=20,AD54=19),"DD","MD"),IF(OR(AD54=20,AD54=19),"HD","JD")))</f>
        <v/>
      </c>
      <c r="AG54" s="1" t="str">
        <f t="shared" si="22"/>
        <v/>
      </c>
      <c r="AH54" s="17"/>
      <c r="AI54" s="1" t="str">
        <f>IF(ISERROR(SMALL('Teilnehmende - Starters'!$F$81:$F$156,ROW(#REF!))),"",SMALL('Teilnehmende - Starters'!$F$81:$F$156,ROW(#REF!)))</f>
        <v/>
      </c>
      <c r="AJ54" s="1" t="str">
        <f>IF(AI54="","",VLOOKUP(AI54,'Teilnehmende - Starters'!$C:$Z,5,0)&amp;" "&amp;VLOOKUP(AI54,'Teilnehmende - Starters'!$C:$Z,6,0))</f>
        <v/>
      </c>
      <c r="AK54" s="1" t="str">
        <f t="shared" si="23"/>
        <v/>
      </c>
      <c r="AL54" s="1" t="str">
        <f>IF(AI54="","",IF(VLOOKUP(AI54,'Teilnehmende - Starters'!$C:$AN,21,0)="Freimeldung",$A$2*100+99,VLOOKUP(AJ54,'Teilnehmende - Starters'!$AB$5:$AD$80,3,FALSE)))</f>
        <v/>
      </c>
      <c r="AM54" s="1" t="str">
        <f>IF(AL54="","",IF(VLOOKUP(AI54,'Teilnehmende - Starters'!$C:$Z,21,0)="Freimeldung","Freimeldung",VLOOKUP(AL54,$A$15:$E$77,4,0)&amp;" "&amp;VLOOKUP(AL54,$A$15:$E$77,5,0)))</f>
        <v/>
      </c>
      <c r="AN54" s="1" t="str">
        <f>IF(AL54="","",IF(VLOOKUP(AI54,'Teilnehmende - Starters'!$C:$Z,21,0)="Freimeldung","",VLOOKUP(AL54,$A$15:$C$77,3,0)))</f>
        <v/>
      </c>
      <c r="AO54" s="1" t="str">
        <f>IF($AI54="","",IF(VLOOKUP($AI54,'Teilnehmende - Starters'!$C:$Z,AO$11,0)="","",VLOOKUP($AI54,'Teilnehmende - Starters'!$C:$Z,AO$11,0)))</f>
        <v/>
      </c>
      <c r="AP54" s="1" t="str">
        <f>IF($AI54="","",IF(VLOOKUP($AI54,'Teilnehmende - Starters'!$C:$Z,AP$11,0)="","",VLOOKUP($AI54,'Teilnehmende - Starters'!$C:$Z,AP$11,0)))</f>
        <v/>
      </c>
      <c r="AQ54" s="1" t="str">
        <f t="shared" si="17"/>
        <v/>
      </c>
      <c r="AR54" s="1" t="str">
        <f t="shared" si="24"/>
        <v/>
      </c>
    </row>
    <row r="55" spans="1:44" x14ac:dyDescent="0.3">
      <c r="A55" s="1" t="str">
        <f>IF(ISERROR(SMALL('Teilnehmende - Starters'!$C$81:$C$156,ROW(A41))),"",SMALL('Teilnehmende - Starters'!$C$81:$C$156,ROW(A41)))</f>
        <v/>
      </c>
      <c r="B55" s="1" t="str">
        <f>IF($A55="","",IF(VLOOKUP($A55,'Teilnehmende - Starters'!$C:$Z,B$11,0)="","",SUBSTITUTE(VLOOKUP($A55,'Teilnehmende - Starters'!$C:$Z,B$11,0)," ","")))</f>
        <v/>
      </c>
      <c r="C55" s="1" t="str">
        <f>IF(A55="","",VLOOKUP(INT(A55/100),'Vereine - Clubs'!$C:$H,4,0))</f>
        <v/>
      </c>
      <c r="D55" s="1" t="str">
        <f>IF($A55="","",IF(VLOOKUP($A55,'Teilnehmende - Starters'!$C:$Z,D$11,0)="","",
IF(RIGHT(VLOOKUP($A55,'Teilnehmende - Starters'!$C:$Z,D$11,0),1)=" ",LEFT(VLOOKUP($A55,'Teilnehmende - Starters'!$C:$Z,D$11,0),LEN(VLOOKUP($A55,'Teilnehmende - Starters'!$C:$Z,D$11,0))-1),
VLOOKUP($A55,'Teilnehmende - Starters'!$C:$Z,D$11,0))))</f>
        <v/>
      </c>
      <c r="E55" s="1" t="str">
        <f>IF($A55="","",IF(VLOOKUP($A55,'Teilnehmende - Starters'!$C:$Z,E$11,0)="","",
IF(RIGHT(VLOOKUP($A55,'Teilnehmende - Starters'!$C:$Z,E$11,0),1)=" ",LEFT(VLOOKUP($A55,'Teilnehmende - Starters'!$C:$Z,E$11,0),LEN(VLOOKUP($A55,'Teilnehmende - Starters'!$C:$Z,E$11,0))-1),
VLOOKUP($A55,'Teilnehmende - Starters'!$C:$Z,E$11,0))))</f>
        <v/>
      </c>
      <c r="F55" s="72" t="str">
        <f>IF($A55="","",IF(VLOOKUP($A55,'Teilnehmende - Starters'!$C:$Z,F$11,0)="","",VLOOKUP($A55,'Teilnehmende - Starters'!$C:$Z,F$11,0)))</f>
        <v/>
      </c>
      <c r="G55" s="1" t="str">
        <f>IF($A55="","",IF(VLOOKUP($A55,'Teilnehmende - Starters'!$C:$Z,G$11,0)="","",VLOOKUP($A55,'Teilnehmende - Starters'!$C:$Z,G$11,0)))</f>
        <v/>
      </c>
      <c r="H55" s="1" t="str">
        <f>IF($A55="","",IF(VLOOKUP($A55,'Teilnehmende - Starters'!$C:$Z,H$11,0)="","",VLOOKUP($A55,'Teilnehmende - Starters'!$C:$Z,H$11,0)))</f>
        <v/>
      </c>
      <c r="I55" s="1" t="str">
        <f>IF($A55="","",IF(VLOOKUP($A55,'Teilnehmende - Starters'!$C:$Z,I$11,0)="","",VLOOKUP($A55,'Teilnehmende - Starters'!$C:$Z,I$11,0)))</f>
        <v/>
      </c>
      <c r="J55" s="1" t="str">
        <f>IF($A55="","",IF(VLOOKUP($A55,'Teilnehmende - Starters'!$C:$Z,J$11,0)="","",VLOOKUP($A55,'Teilnehmende - Starters'!$C:$Z,J$11,0)))</f>
        <v/>
      </c>
      <c r="K55" s="1" t="str">
        <f>IF($A55="","",IF(VLOOKUP($A55,'Teilnehmende - Starters'!$C:$Z,K$11,0)="","",VLOOKUP($A55,'Teilnehmende - Starters'!$C:$Z,K$11,0)))</f>
        <v/>
      </c>
      <c r="L55" s="1" t="str">
        <f>IF($A55="","",IF(VLOOKUP($A55,'Teilnehmende - Starters'!$C:$Z,L$11,0)="","",VLOOKUP($A55,'Teilnehmende - Starters'!$C:$Z,L$11,0)))</f>
        <v/>
      </c>
      <c r="M55" s="1" t="str">
        <f>IF($A55="","",IF(VLOOKUP($A55,'Teilnehmende - Starters'!$C:$Z,M$11,0)="","",VLOOKUP($A55,'Teilnehmende - Starters'!$C:$Z,M$11,0)))</f>
        <v/>
      </c>
      <c r="N55" s="17"/>
      <c r="O55" s="1" t="str">
        <f>IF(ISERROR(SMALL('Teilnehmende - Starters'!$D$81:$D$156,ROW(A41))),"",SMALL('Teilnehmende - Starters'!$D$81:$D$156,ROW(A41)))</f>
        <v/>
      </c>
      <c r="P55" s="1" t="str">
        <f>IF($O55="","",IF(VLOOKUP($O55,'Teilnehmende - Starters'!$D:$Z,P$11,0)="","",
IF(RIGHT(VLOOKUP($O55,'Teilnehmende - Starters'!$D:$Z,P$11,0),1)=" ",LEFT(VLOOKUP($O55,'Teilnehmende - Starters'!$D:$Z,P$11,0),LEN(VLOOKUP($O55,'Teilnehmende - Starters'!$D:$Z,P$11,0))-1),
VLOOKUP($O55,'Teilnehmende - Starters'!$D:$Z,P$11,0))))</f>
        <v/>
      </c>
      <c r="Q55" s="1" t="str">
        <f>IF($O55="","",IF(VLOOKUP($O55,'Teilnehmende - Starters'!$D:$Z,Q$11,0)="","",
IF(RIGHT(VLOOKUP($O55,'Teilnehmende - Starters'!$D:$Z,Q$11,0),1)=" ",LEFT(VLOOKUP($O55,'Teilnehmende - Starters'!$D:$Z,Q$11,0),LEN(VLOOKUP($O55,'Teilnehmende - Starters'!$D:$Z,Q$11,0))-1),
VLOOKUP($O55,'Teilnehmende - Starters'!$D:$Z,Q$11,0))))</f>
        <v/>
      </c>
      <c r="R55" s="1" t="str">
        <f t="shared" si="19"/>
        <v/>
      </c>
      <c r="S55" s="1" t="str">
        <f>IF($O55="","",IF(VLOOKUP($O55,'Teilnehmende - Starters'!$D:$Z,S$11,0)="","",VLOOKUP($O55,'Teilnehmende - Starters'!$D:$Z,S$11,0)))</f>
        <v/>
      </c>
      <c r="T55" s="1" t="str">
        <f>IF($O55="","",IF(VLOOKUP($O55,'Teilnehmende - Starters'!$D:$Z,T$11,0)="","",VLOOKUP($O55,'Teilnehmende - Starters'!$D:$Z,T$11,0)))</f>
        <v/>
      </c>
      <c r="U55" s="1" t="str">
        <f>IF($O55="","",IF(VLOOKUP(O55,'Teilnehmende - Starters'!$C:$I,7,0)="w",IF(OR(S55=20,S55=19),"DE","ME"),IF(OR(S55=20,S55=19),"HE","JE")))</f>
        <v/>
      </c>
      <c r="V55" s="1" t="str">
        <f t="shared" si="20"/>
        <v/>
      </c>
      <c r="W55" s="17"/>
      <c r="X55" s="1" t="str">
        <f>IF(ISERROR(SMALL('Teilnehmende - Starters'!$E$81:$E$156,ROW(A41))),"",SMALL('Teilnehmende - Starters'!$E$81:$E$156,ROW(A41)))</f>
        <v/>
      </c>
      <c r="Y55" s="1" t="str">
        <f>IF(X55="","",VLOOKUP(X55,'Teilnehmende - Starters'!$C:$Z,5,0)&amp;" "&amp;VLOOKUP(X55,'Teilnehmende - Starters'!$C:$Z,6,0))</f>
        <v/>
      </c>
      <c r="Z55" s="1" t="str">
        <f t="shared" si="21"/>
        <v/>
      </c>
      <c r="AA55" s="1" t="str">
        <f>IF(X55="","",IF(VLOOKUP(X55,'Teilnehmende - Starters'!$C:$Z,18,0)="Freimeldung",$A$2*100+99,VLOOKUP(Y55,'Teilnehmende - Starters'!$AA$5:$AD$80,4,FALSE)))</f>
        <v/>
      </c>
      <c r="AB55" s="1" t="str">
        <f>IF(AA55="","",IF(VLOOKUP(X55,'Teilnehmende - Starters'!$C:$Z,18,0)="Freimeldung","Freimeldung",VLOOKUP(AA55,$A$15:$E$77,4,0)&amp;" "&amp;VLOOKUP(AA55,$A$15:$E$77,5,0)))</f>
        <v/>
      </c>
      <c r="AC55" s="1" t="str">
        <f>IF(AA55="","",IF(VLOOKUP(X55,'Teilnehmende - Starters'!$C:$Z,18,0)="Freimeldung","",VLOOKUP(AA55,$A$15:$C$77,3,0)))</f>
        <v/>
      </c>
      <c r="AD55" s="1" t="str">
        <f>IF($X55="","",IF(VLOOKUP($X55,'Teilnehmende - Starters'!$C:$Z,AD$11,0)="","",VLOOKUP($X55,'Teilnehmende - Starters'!$C:$Z,AD$11,0)))</f>
        <v/>
      </c>
      <c r="AE55" s="1" t="str">
        <f>IF($X55="","",IF(VLOOKUP($X55,'Teilnehmende - Starters'!$C:$Z,AE$11,0)="","",VLOOKUP($X55,'Teilnehmende - Starters'!$C:$Z,AE$11,0)))</f>
        <v/>
      </c>
      <c r="AF55" s="1" t="str">
        <f>IF($X55="","",IF(VLOOKUP(X55,'Teilnehmende - Starters'!$C:$I,7,0)="w",IF(OR(AD55=20,AD55=19),"DD","MD"),IF(OR(AD55=20,AD55=19),"HD","JD")))</f>
        <v/>
      </c>
      <c r="AG55" s="1" t="str">
        <f t="shared" si="22"/>
        <v/>
      </c>
      <c r="AH55" s="17"/>
      <c r="AI55" s="1" t="str">
        <f>IF(ISERROR(SMALL('Teilnehmende - Starters'!$F$81:$F$156,ROW(#REF!))),"",SMALL('Teilnehmende - Starters'!$F$81:$F$156,ROW(#REF!)))</f>
        <v/>
      </c>
      <c r="AJ55" s="1" t="str">
        <f>IF(AI55="","",VLOOKUP(AI55,'Teilnehmende - Starters'!$C:$Z,5,0)&amp;" "&amp;VLOOKUP(AI55,'Teilnehmende - Starters'!$C:$Z,6,0))</f>
        <v/>
      </c>
      <c r="AK55" s="1" t="str">
        <f t="shared" si="23"/>
        <v/>
      </c>
      <c r="AL55" s="1" t="str">
        <f>IF(AI55="","",IF(VLOOKUP(AI55,'Teilnehmende - Starters'!$C:$AN,21,0)="Freimeldung",$A$2*100+99,VLOOKUP(AJ55,'Teilnehmende - Starters'!$AB$5:$AD$80,3,FALSE)))</f>
        <v/>
      </c>
      <c r="AM55" s="1" t="str">
        <f>IF(AL55="","",IF(VLOOKUP(AI55,'Teilnehmende - Starters'!$C:$Z,21,0)="Freimeldung","Freimeldung",VLOOKUP(AL55,$A$15:$E$77,4,0)&amp;" "&amp;VLOOKUP(AL55,$A$15:$E$77,5,0)))</f>
        <v/>
      </c>
      <c r="AN55" s="1" t="str">
        <f>IF(AL55="","",IF(VLOOKUP(AI55,'Teilnehmende - Starters'!$C:$Z,21,0)="Freimeldung","",VLOOKUP(AL55,$A$15:$C$77,3,0)))</f>
        <v/>
      </c>
      <c r="AO55" s="1" t="str">
        <f>IF($AI55="","",IF(VLOOKUP($AI55,'Teilnehmende - Starters'!$C:$Z,AO$11,0)="","",VLOOKUP($AI55,'Teilnehmende - Starters'!$C:$Z,AO$11,0)))</f>
        <v/>
      </c>
      <c r="AP55" s="1" t="str">
        <f>IF($AI55="","",IF(VLOOKUP($AI55,'Teilnehmende - Starters'!$C:$Z,AP$11,0)="","",VLOOKUP($AI55,'Teilnehmende - Starters'!$C:$Z,AP$11,0)))</f>
        <v/>
      </c>
      <c r="AQ55" s="1" t="str">
        <f t="shared" si="17"/>
        <v/>
      </c>
      <c r="AR55" s="1" t="str">
        <f t="shared" si="24"/>
        <v/>
      </c>
    </row>
    <row r="56" spans="1:44" x14ac:dyDescent="0.3">
      <c r="A56" s="1" t="str">
        <f>IF(ISERROR(SMALL('Teilnehmende - Starters'!$C$81:$C$156,ROW(A42))),"",SMALL('Teilnehmende - Starters'!$C$81:$C$156,ROW(A42)))</f>
        <v/>
      </c>
      <c r="B56" s="1" t="str">
        <f>IF($A56="","",IF(VLOOKUP($A56,'Teilnehmende - Starters'!$C:$Z,B$11,0)="","",SUBSTITUTE(VLOOKUP($A56,'Teilnehmende - Starters'!$C:$Z,B$11,0)," ","")))</f>
        <v/>
      </c>
      <c r="C56" s="1" t="str">
        <f>IF(A56="","",VLOOKUP(INT(A56/100),'Vereine - Clubs'!$C:$H,4,0))</f>
        <v/>
      </c>
      <c r="D56" s="1" t="str">
        <f>IF($A56="","",IF(VLOOKUP($A56,'Teilnehmende - Starters'!$C:$Z,D$11,0)="","",
IF(RIGHT(VLOOKUP($A56,'Teilnehmende - Starters'!$C:$Z,D$11,0),1)=" ",LEFT(VLOOKUP($A56,'Teilnehmende - Starters'!$C:$Z,D$11,0),LEN(VLOOKUP($A56,'Teilnehmende - Starters'!$C:$Z,D$11,0))-1),
VLOOKUP($A56,'Teilnehmende - Starters'!$C:$Z,D$11,0))))</f>
        <v/>
      </c>
      <c r="E56" s="1" t="str">
        <f>IF($A56="","",IF(VLOOKUP($A56,'Teilnehmende - Starters'!$C:$Z,E$11,0)="","",
IF(RIGHT(VLOOKUP($A56,'Teilnehmende - Starters'!$C:$Z,E$11,0),1)=" ",LEFT(VLOOKUP($A56,'Teilnehmende - Starters'!$C:$Z,E$11,0),LEN(VLOOKUP($A56,'Teilnehmende - Starters'!$C:$Z,E$11,0))-1),
VLOOKUP($A56,'Teilnehmende - Starters'!$C:$Z,E$11,0))))</f>
        <v/>
      </c>
      <c r="F56" s="72" t="str">
        <f>IF($A56="","",IF(VLOOKUP($A56,'Teilnehmende - Starters'!$C:$Z,F$11,0)="","",VLOOKUP($A56,'Teilnehmende - Starters'!$C:$Z,F$11,0)))</f>
        <v/>
      </c>
      <c r="G56" s="1" t="str">
        <f>IF($A56="","",IF(VLOOKUP($A56,'Teilnehmende - Starters'!$C:$Z,G$11,0)="","",VLOOKUP($A56,'Teilnehmende - Starters'!$C:$Z,G$11,0)))</f>
        <v/>
      </c>
      <c r="H56" s="1" t="str">
        <f>IF($A56="","",IF(VLOOKUP($A56,'Teilnehmende - Starters'!$C:$Z,H$11,0)="","",VLOOKUP($A56,'Teilnehmende - Starters'!$C:$Z,H$11,0)))</f>
        <v/>
      </c>
      <c r="I56" s="1" t="str">
        <f>IF($A56="","",IF(VLOOKUP($A56,'Teilnehmende - Starters'!$C:$Z,I$11,0)="","",VLOOKUP($A56,'Teilnehmende - Starters'!$C:$Z,I$11,0)))</f>
        <v/>
      </c>
      <c r="J56" s="1" t="str">
        <f>IF($A56="","",IF(VLOOKUP($A56,'Teilnehmende - Starters'!$C:$Z,J$11,0)="","",VLOOKUP($A56,'Teilnehmende - Starters'!$C:$Z,J$11,0)))</f>
        <v/>
      </c>
      <c r="K56" s="1" t="str">
        <f>IF($A56="","",IF(VLOOKUP($A56,'Teilnehmende - Starters'!$C:$Z,K$11,0)="","",VLOOKUP($A56,'Teilnehmende - Starters'!$C:$Z,K$11,0)))</f>
        <v/>
      </c>
      <c r="L56" s="1" t="str">
        <f>IF($A56="","",IF(VLOOKUP($A56,'Teilnehmende - Starters'!$C:$Z,L$11,0)="","",VLOOKUP($A56,'Teilnehmende - Starters'!$C:$Z,L$11,0)))</f>
        <v/>
      </c>
      <c r="M56" s="1" t="str">
        <f>IF($A56="","",IF(VLOOKUP($A56,'Teilnehmende - Starters'!$C:$Z,M$11,0)="","",VLOOKUP($A56,'Teilnehmende - Starters'!$C:$Z,M$11,0)))</f>
        <v/>
      </c>
      <c r="N56" s="17"/>
      <c r="O56" s="1" t="str">
        <f>IF(ISERROR(SMALL('Teilnehmende - Starters'!$D$81:$D$156,ROW(A42))),"",SMALL('Teilnehmende - Starters'!$D$81:$D$156,ROW(A42)))</f>
        <v/>
      </c>
      <c r="P56" s="1" t="str">
        <f>IF($O56="","",IF(VLOOKUP($O56,'Teilnehmende - Starters'!$D:$Z,P$11,0)="","",
IF(RIGHT(VLOOKUP($O56,'Teilnehmende - Starters'!$D:$Z,P$11,0),1)=" ",LEFT(VLOOKUP($O56,'Teilnehmende - Starters'!$D:$Z,P$11,0),LEN(VLOOKUP($O56,'Teilnehmende - Starters'!$D:$Z,P$11,0))-1),
VLOOKUP($O56,'Teilnehmende - Starters'!$D:$Z,P$11,0))))</f>
        <v/>
      </c>
      <c r="Q56" s="1" t="str">
        <f>IF($O56="","",IF(VLOOKUP($O56,'Teilnehmende - Starters'!$D:$Z,Q$11,0)="","",
IF(RIGHT(VLOOKUP($O56,'Teilnehmende - Starters'!$D:$Z,Q$11,0),1)=" ",LEFT(VLOOKUP($O56,'Teilnehmende - Starters'!$D:$Z,Q$11,0),LEN(VLOOKUP($O56,'Teilnehmende - Starters'!$D:$Z,Q$11,0))-1),
VLOOKUP($O56,'Teilnehmende - Starters'!$D:$Z,Q$11,0))))</f>
        <v/>
      </c>
      <c r="R56" s="1" t="str">
        <f t="shared" si="19"/>
        <v/>
      </c>
      <c r="S56" s="1" t="str">
        <f>IF($O56="","",IF(VLOOKUP($O56,'Teilnehmende - Starters'!$D:$Z,S$11,0)="","",VLOOKUP($O56,'Teilnehmende - Starters'!$D:$Z,S$11,0)))</f>
        <v/>
      </c>
      <c r="T56" s="1" t="str">
        <f>IF($O56="","",IF(VLOOKUP($O56,'Teilnehmende - Starters'!$D:$Z,T$11,0)="","",VLOOKUP($O56,'Teilnehmende - Starters'!$D:$Z,T$11,0)))</f>
        <v/>
      </c>
      <c r="U56" s="1" t="str">
        <f>IF($O56="","",IF(VLOOKUP(O56,'Teilnehmende - Starters'!$C:$I,7,0)="w",IF(OR(S56=20,S56=19),"DE","ME"),IF(OR(S56=20,S56=19),"HE","JE")))</f>
        <v/>
      </c>
      <c r="V56" s="1" t="str">
        <f t="shared" si="20"/>
        <v/>
      </c>
      <c r="W56" s="17"/>
      <c r="X56" s="1" t="str">
        <f>IF(ISERROR(SMALL('Teilnehmende - Starters'!$E$81:$E$156,ROW(A42))),"",SMALL('Teilnehmende - Starters'!$E$81:$E$156,ROW(A42)))</f>
        <v/>
      </c>
      <c r="Y56" s="1" t="str">
        <f>IF(X56="","",VLOOKUP(X56,'Teilnehmende - Starters'!$C:$Z,5,0)&amp;" "&amp;VLOOKUP(X56,'Teilnehmende - Starters'!$C:$Z,6,0))</f>
        <v/>
      </c>
      <c r="Z56" s="1" t="str">
        <f t="shared" si="21"/>
        <v/>
      </c>
      <c r="AA56" s="1" t="str">
        <f>IF(X56="","",IF(VLOOKUP(X56,'Teilnehmende - Starters'!$C:$Z,18,0)="Freimeldung",$A$2*100+99,VLOOKUP(Y56,'Teilnehmende - Starters'!$AA$5:$AD$80,4,FALSE)))</f>
        <v/>
      </c>
      <c r="AB56" s="1" t="str">
        <f>IF(AA56="","",IF(VLOOKUP(X56,'Teilnehmende - Starters'!$C:$Z,18,0)="Freimeldung","Freimeldung",VLOOKUP(AA56,$A$15:$E$77,4,0)&amp;" "&amp;VLOOKUP(AA56,$A$15:$E$77,5,0)))</f>
        <v/>
      </c>
      <c r="AC56" s="1" t="str">
        <f>IF(AA56="","",IF(VLOOKUP(X56,'Teilnehmende - Starters'!$C:$Z,18,0)="Freimeldung","",VLOOKUP(AA56,$A$15:$C$77,3,0)))</f>
        <v/>
      </c>
      <c r="AD56" s="1" t="str">
        <f>IF($X56="","",IF(VLOOKUP($X56,'Teilnehmende - Starters'!$C:$Z,AD$11,0)="","",VLOOKUP($X56,'Teilnehmende - Starters'!$C:$Z,AD$11,0)))</f>
        <v/>
      </c>
      <c r="AE56" s="1" t="str">
        <f>IF($X56="","",IF(VLOOKUP($X56,'Teilnehmende - Starters'!$C:$Z,AE$11,0)="","",VLOOKUP($X56,'Teilnehmende - Starters'!$C:$Z,AE$11,0)))</f>
        <v/>
      </c>
      <c r="AF56" s="1" t="str">
        <f>IF($X56="","",IF(VLOOKUP(X56,'Teilnehmende - Starters'!$C:$I,7,0)="w",IF(OR(AD56=20,AD56=19),"DD","MD"),IF(OR(AD56=20,AD56=19),"HD","JD")))</f>
        <v/>
      </c>
      <c r="AG56" s="1" t="str">
        <f t="shared" si="22"/>
        <v/>
      </c>
      <c r="AH56" s="17"/>
      <c r="AI56" s="1" t="str">
        <f>IF(ISERROR(SMALL('Teilnehmende - Starters'!$F$81:$F$156,ROW(#REF!))),"",SMALL('Teilnehmende - Starters'!$F$81:$F$156,ROW(#REF!)))</f>
        <v/>
      </c>
      <c r="AJ56" s="1" t="str">
        <f>IF(AI56="","",VLOOKUP(AI56,'Teilnehmende - Starters'!$C:$Z,5,0)&amp;" "&amp;VLOOKUP(AI56,'Teilnehmende - Starters'!$C:$Z,6,0))</f>
        <v/>
      </c>
      <c r="AK56" s="1" t="str">
        <f t="shared" si="23"/>
        <v/>
      </c>
      <c r="AL56" s="1" t="str">
        <f>IF(AI56="","",IF(VLOOKUP(AI56,'Teilnehmende - Starters'!$C:$AN,21,0)="Freimeldung",$A$2*100+99,VLOOKUP(AJ56,'Teilnehmende - Starters'!$AB$5:$AD$80,3,FALSE)))</f>
        <v/>
      </c>
      <c r="AM56" s="1" t="str">
        <f>IF(AL56="","",IF(VLOOKUP(AI56,'Teilnehmende - Starters'!$C:$Z,21,0)="Freimeldung","Freimeldung",VLOOKUP(AL56,$A$15:$E$77,4,0)&amp;" "&amp;VLOOKUP(AL56,$A$15:$E$77,5,0)))</f>
        <v/>
      </c>
      <c r="AN56" s="1" t="str">
        <f>IF(AL56="","",IF(VLOOKUP(AI56,'Teilnehmende - Starters'!$C:$Z,21,0)="Freimeldung","",VLOOKUP(AL56,$A$15:$C$77,3,0)))</f>
        <v/>
      </c>
      <c r="AO56" s="1" t="str">
        <f>IF($AI56="","",IF(VLOOKUP($AI56,'Teilnehmende - Starters'!$C:$Z,AO$11,0)="","",VLOOKUP($AI56,'Teilnehmende - Starters'!$C:$Z,AO$11,0)))</f>
        <v/>
      </c>
      <c r="AP56" s="1" t="str">
        <f>IF($AI56="","",IF(VLOOKUP($AI56,'Teilnehmende - Starters'!$C:$Z,AP$11,0)="","",VLOOKUP($AI56,'Teilnehmende - Starters'!$C:$Z,AP$11,0)))</f>
        <v/>
      </c>
      <c r="AQ56" s="1" t="str">
        <f t="shared" si="17"/>
        <v/>
      </c>
      <c r="AR56" s="1" t="str">
        <f t="shared" si="24"/>
        <v/>
      </c>
    </row>
    <row r="57" spans="1:44" x14ac:dyDescent="0.3">
      <c r="A57" s="1" t="str">
        <f>IF(ISERROR(SMALL('Teilnehmende - Starters'!$C$81:$C$156,ROW(A43))),"",SMALL('Teilnehmende - Starters'!$C$81:$C$156,ROW(A43)))</f>
        <v/>
      </c>
      <c r="B57" s="1" t="str">
        <f>IF($A57="","",IF(VLOOKUP($A57,'Teilnehmende - Starters'!$C:$Z,B$11,0)="","",SUBSTITUTE(VLOOKUP($A57,'Teilnehmende - Starters'!$C:$Z,B$11,0)," ","")))</f>
        <v/>
      </c>
      <c r="C57" s="1" t="str">
        <f>IF(A57="","",VLOOKUP(INT(A57/100),'Vereine - Clubs'!$C:$H,4,0))</f>
        <v/>
      </c>
      <c r="D57" s="1" t="str">
        <f>IF($A57="","",IF(VLOOKUP($A57,'Teilnehmende - Starters'!$C:$Z,D$11,0)="","",
IF(RIGHT(VLOOKUP($A57,'Teilnehmende - Starters'!$C:$Z,D$11,0),1)=" ",LEFT(VLOOKUP($A57,'Teilnehmende - Starters'!$C:$Z,D$11,0),LEN(VLOOKUP($A57,'Teilnehmende - Starters'!$C:$Z,D$11,0))-1),
VLOOKUP($A57,'Teilnehmende - Starters'!$C:$Z,D$11,0))))</f>
        <v/>
      </c>
      <c r="E57" s="1" t="str">
        <f>IF($A57="","",IF(VLOOKUP($A57,'Teilnehmende - Starters'!$C:$Z,E$11,0)="","",
IF(RIGHT(VLOOKUP($A57,'Teilnehmende - Starters'!$C:$Z,E$11,0),1)=" ",LEFT(VLOOKUP($A57,'Teilnehmende - Starters'!$C:$Z,E$11,0),LEN(VLOOKUP($A57,'Teilnehmende - Starters'!$C:$Z,E$11,0))-1),
VLOOKUP($A57,'Teilnehmende - Starters'!$C:$Z,E$11,0))))</f>
        <v/>
      </c>
      <c r="F57" s="72" t="str">
        <f>IF($A57="","",IF(VLOOKUP($A57,'Teilnehmende - Starters'!$C:$Z,F$11,0)="","",VLOOKUP($A57,'Teilnehmende - Starters'!$C:$Z,F$11,0)))</f>
        <v/>
      </c>
      <c r="G57" s="1" t="str">
        <f>IF($A57="","",IF(VLOOKUP($A57,'Teilnehmende - Starters'!$C:$Z,G$11,0)="","",VLOOKUP($A57,'Teilnehmende - Starters'!$C:$Z,G$11,0)))</f>
        <v/>
      </c>
      <c r="H57" s="1" t="str">
        <f>IF($A57="","",IF(VLOOKUP($A57,'Teilnehmende - Starters'!$C:$Z,H$11,0)="","",VLOOKUP($A57,'Teilnehmende - Starters'!$C:$Z,H$11,0)))</f>
        <v/>
      </c>
      <c r="I57" s="1" t="str">
        <f>IF($A57="","",IF(VLOOKUP($A57,'Teilnehmende - Starters'!$C:$Z,I$11,0)="","",VLOOKUP($A57,'Teilnehmende - Starters'!$C:$Z,I$11,0)))</f>
        <v/>
      </c>
      <c r="J57" s="1" t="str">
        <f>IF($A57="","",IF(VLOOKUP($A57,'Teilnehmende - Starters'!$C:$Z,J$11,0)="","",VLOOKUP($A57,'Teilnehmende - Starters'!$C:$Z,J$11,0)))</f>
        <v/>
      </c>
      <c r="K57" s="1" t="str">
        <f>IF($A57="","",IF(VLOOKUP($A57,'Teilnehmende - Starters'!$C:$Z,K$11,0)="","",VLOOKUP($A57,'Teilnehmende - Starters'!$C:$Z,K$11,0)))</f>
        <v/>
      </c>
      <c r="L57" s="1" t="str">
        <f>IF($A57="","",IF(VLOOKUP($A57,'Teilnehmende - Starters'!$C:$Z,L$11,0)="","",VLOOKUP($A57,'Teilnehmende - Starters'!$C:$Z,L$11,0)))</f>
        <v/>
      </c>
      <c r="M57" s="1" t="str">
        <f>IF($A57="","",IF(VLOOKUP($A57,'Teilnehmende - Starters'!$C:$Z,M$11,0)="","",VLOOKUP($A57,'Teilnehmende - Starters'!$C:$Z,M$11,0)))</f>
        <v/>
      </c>
      <c r="N57" s="17"/>
      <c r="O57" s="1" t="str">
        <f>IF(ISERROR(SMALL('Teilnehmende - Starters'!$D$81:$D$156,ROW(A43))),"",SMALL('Teilnehmende - Starters'!$D$81:$D$156,ROW(A43)))</f>
        <v/>
      </c>
      <c r="P57" s="1" t="str">
        <f>IF($O57="","",IF(VLOOKUP($O57,'Teilnehmende - Starters'!$D:$Z,P$11,0)="","",
IF(RIGHT(VLOOKUP($O57,'Teilnehmende - Starters'!$D:$Z,P$11,0),1)=" ",LEFT(VLOOKUP($O57,'Teilnehmende - Starters'!$D:$Z,P$11,0),LEN(VLOOKUP($O57,'Teilnehmende - Starters'!$D:$Z,P$11,0))-1),
VLOOKUP($O57,'Teilnehmende - Starters'!$D:$Z,P$11,0))))</f>
        <v/>
      </c>
      <c r="Q57" s="1" t="str">
        <f>IF($O57="","",IF(VLOOKUP($O57,'Teilnehmende - Starters'!$D:$Z,Q$11,0)="","",
IF(RIGHT(VLOOKUP($O57,'Teilnehmende - Starters'!$D:$Z,Q$11,0),1)=" ",LEFT(VLOOKUP($O57,'Teilnehmende - Starters'!$D:$Z,Q$11,0),LEN(VLOOKUP($O57,'Teilnehmende - Starters'!$D:$Z,Q$11,0))-1),
VLOOKUP($O57,'Teilnehmende - Starters'!$D:$Z,Q$11,0))))</f>
        <v/>
      </c>
      <c r="R57" s="1" t="str">
        <f t="shared" si="19"/>
        <v/>
      </c>
      <c r="S57" s="1" t="str">
        <f>IF($O57="","",IF(VLOOKUP($O57,'Teilnehmende - Starters'!$D:$Z,S$11,0)="","",VLOOKUP($O57,'Teilnehmende - Starters'!$D:$Z,S$11,0)))</f>
        <v/>
      </c>
      <c r="T57" s="1" t="str">
        <f>IF($O57="","",IF(VLOOKUP($O57,'Teilnehmende - Starters'!$D:$Z,T$11,0)="","",VLOOKUP($O57,'Teilnehmende - Starters'!$D:$Z,T$11,0)))</f>
        <v/>
      </c>
      <c r="U57" s="1" t="str">
        <f>IF($O57="","",IF(VLOOKUP(O57,'Teilnehmende - Starters'!$C:$I,7,0)="w",IF(OR(S57=20,S57=19),"DE","ME"),IF(OR(S57=20,S57=19),"HE","JE")))</f>
        <v/>
      </c>
      <c r="V57" s="1" t="str">
        <f t="shared" si="20"/>
        <v/>
      </c>
      <c r="W57" s="17"/>
      <c r="X57" s="1" t="str">
        <f>IF(ISERROR(SMALL('Teilnehmende - Starters'!$E$81:$E$156,ROW(A43))),"",SMALL('Teilnehmende - Starters'!$E$81:$E$156,ROW(A43)))</f>
        <v/>
      </c>
      <c r="Y57" s="1" t="str">
        <f>IF(X57="","",VLOOKUP(X57,'Teilnehmende - Starters'!$C:$Z,5,0)&amp;" "&amp;VLOOKUP(X57,'Teilnehmende - Starters'!$C:$Z,6,0))</f>
        <v/>
      </c>
      <c r="Z57" s="1" t="str">
        <f t="shared" si="21"/>
        <v/>
      </c>
      <c r="AA57" s="1" t="str">
        <f>IF(X57="","",IF(VLOOKUP(X57,'Teilnehmende - Starters'!$C:$Z,18,0)="Freimeldung",$A$2*100+99,VLOOKUP(Y57,'Teilnehmende - Starters'!$AA$5:$AD$80,4,FALSE)))</f>
        <v/>
      </c>
      <c r="AB57" s="1" t="str">
        <f>IF(AA57="","",IF(VLOOKUP(X57,'Teilnehmende - Starters'!$C:$Z,18,0)="Freimeldung","Freimeldung",VLOOKUP(AA57,$A$15:$E$77,4,0)&amp;" "&amp;VLOOKUP(AA57,$A$15:$E$77,5,0)))</f>
        <v/>
      </c>
      <c r="AC57" s="1" t="str">
        <f>IF(AA57="","",IF(VLOOKUP(X57,'Teilnehmende - Starters'!$C:$Z,18,0)="Freimeldung","",VLOOKUP(AA57,$A$15:$C$77,3,0)))</f>
        <v/>
      </c>
      <c r="AD57" s="1" t="str">
        <f>IF($X57="","",IF(VLOOKUP($X57,'Teilnehmende - Starters'!$C:$Z,AD$11,0)="","",VLOOKUP($X57,'Teilnehmende - Starters'!$C:$Z,AD$11,0)))</f>
        <v/>
      </c>
      <c r="AE57" s="1" t="str">
        <f>IF($X57="","",IF(VLOOKUP($X57,'Teilnehmende - Starters'!$C:$Z,AE$11,0)="","",VLOOKUP($X57,'Teilnehmende - Starters'!$C:$Z,AE$11,0)))</f>
        <v/>
      </c>
      <c r="AF57" s="1" t="str">
        <f>IF($X57="","",IF(VLOOKUP(X57,'Teilnehmende - Starters'!$C:$I,7,0)="w",IF(OR(AD57=20,AD57=19),"DD","MD"),IF(OR(AD57=20,AD57=19),"HD","JD")))</f>
        <v/>
      </c>
      <c r="AG57" s="1" t="str">
        <f t="shared" si="22"/>
        <v/>
      </c>
      <c r="AH57" s="17"/>
      <c r="AI57" s="1" t="str">
        <f>IF(ISERROR(SMALL('Teilnehmende - Starters'!$F$81:$F$156,ROW(#REF!))),"",SMALL('Teilnehmende - Starters'!$F$81:$F$156,ROW(#REF!)))</f>
        <v/>
      </c>
      <c r="AJ57" s="1" t="str">
        <f>IF(AI57="","",VLOOKUP(AI57,'Teilnehmende - Starters'!$C:$Z,5,0)&amp;" "&amp;VLOOKUP(AI57,'Teilnehmende - Starters'!$C:$Z,6,0))</f>
        <v/>
      </c>
      <c r="AK57" s="1" t="str">
        <f t="shared" si="23"/>
        <v/>
      </c>
      <c r="AL57" s="1" t="str">
        <f>IF(AI57="","",IF(VLOOKUP(AI57,'Teilnehmende - Starters'!$C:$AN,21,0)="Freimeldung",$A$2*100+99,VLOOKUP(AJ57,'Teilnehmende - Starters'!$AB$5:$AD$80,3,FALSE)))</f>
        <v/>
      </c>
      <c r="AM57" s="1" t="str">
        <f>IF(AL57="","",IF(VLOOKUP(AI57,'Teilnehmende - Starters'!$C:$Z,21,0)="Freimeldung","Freimeldung",VLOOKUP(AL57,$A$15:$E$77,4,0)&amp;" "&amp;VLOOKUP(AL57,$A$15:$E$77,5,0)))</f>
        <v/>
      </c>
      <c r="AN57" s="1" t="str">
        <f>IF(AL57="","",IF(VLOOKUP(AI57,'Teilnehmende - Starters'!$C:$Z,21,0)="Freimeldung","",VLOOKUP(AL57,$A$15:$C$77,3,0)))</f>
        <v/>
      </c>
      <c r="AO57" s="1" t="str">
        <f>IF($AI57="","",IF(VLOOKUP($AI57,'Teilnehmende - Starters'!$C:$Z,AO$11,0)="","",VLOOKUP($AI57,'Teilnehmende - Starters'!$C:$Z,AO$11,0)))</f>
        <v/>
      </c>
      <c r="AP57" s="1" t="str">
        <f>IF($AI57="","",IF(VLOOKUP($AI57,'Teilnehmende - Starters'!$C:$Z,AP$11,0)="","",VLOOKUP($AI57,'Teilnehmende - Starters'!$C:$Z,AP$11,0)))</f>
        <v/>
      </c>
      <c r="AQ57" s="1" t="str">
        <f t="shared" si="17"/>
        <v/>
      </c>
      <c r="AR57" s="1" t="str">
        <f t="shared" si="24"/>
        <v/>
      </c>
    </row>
    <row r="58" spans="1:44" x14ac:dyDescent="0.3">
      <c r="A58" s="1" t="str">
        <f>IF(ISERROR(SMALL('Teilnehmende - Starters'!$C$81:$C$156,ROW(A44))),"",SMALL('Teilnehmende - Starters'!$C$81:$C$156,ROW(A44)))</f>
        <v/>
      </c>
      <c r="B58" s="1" t="str">
        <f>IF($A58="","",IF(VLOOKUP($A58,'Teilnehmende - Starters'!$C:$Z,B$11,0)="","",SUBSTITUTE(VLOOKUP($A58,'Teilnehmende - Starters'!$C:$Z,B$11,0)," ","")))</f>
        <v/>
      </c>
      <c r="C58" s="1" t="str">
        <f>IF(A58="","",VLOOKUP(INT(A58/100),'Vereine - Clubs'!$C:$H,4,0))</f>
        <v/>
      </c>
      <c r="D58" s="1" t="str">
        <f>IF($A58="","",IF(VLOOKUP($A58,'Teilnehmende - Starters'!$C:$Z,D$11,0)="","",
IF(RIGHT(VLOOKUP($A58,'Teilnehmende - Starters'!$C:$Z,D$11,0),1)=" ",LEFT(VLOOKUP($A58,'Teilnehmende - Starters'!$C:$Z,D$11,0),LEN(VLOOKUP($A58,'Teilnehmende - Starters'!$C:$Z,D$11,0))-1),
VLOOKUP($A58,'Teilnehmende - Starters'!$C:$Z,D$11,0))))</f>
        <v/>
      </c>
      <c r="E58" s="1" t="str">
        <f>IF($A58="","",IF(VLOOKUP($A58,'Teilnehmende - Starters'!$C:$Z,E$11,0)="","",
IF(RIGHT(VLOOKUP($A58,'Teilnehmende - Starters'!$C:$Z,E$11,0),1)=" ",LEFT(VLOOKUP($A58,'Teilnehmende - Starters'!$C:$Z,E$11,0),LEN(VLOOKUP($A58,'Teilnehmende - Starters'!$C:$Z,E$11,0))-1),
VLOOKUP($A58,'Teilnehmende - Starters'!$C:$Z,E$11,0))))</f>
        <v/>
      </c>
      <c r="F58" s="72" t="str">
        <f>IF($A58="","",IF(VLOOKUP($A58,'Teilnehmende - Starters'!$C:$Z,F$11,0)="","",VLOOKUP($A58,'Teilnehmende - Starters'!$C:$Z,F$11,0)))</f>
        <v/>
      </c>
      <c r="G58" s="1" t="str">
        <f>IF($A58="","",IF(VLOOKUP($A58,'Teilnehmende - Starters'!$C:$Z,G$11,0)="","",VLOOKUP($A58,'Teilnehmende - Starters'!$C:$Z,G$11,0)))</f>
        <v/>
      </c>
      <c r="H58" s="1" t="str">
        <f>IF($A58="","",IF(VLOOKUP($A58,'Teilnehmende - Starters'!$C:$Z,H$11,0)="","",VLOOKUP($A58,'Teilnehmende - Starters'!$C:$Z,H$11,0)))</f>
        <v/>
      </c>
      <c r="I58" s="1" t="str">
        <f>IF($A58="","",IF(VLOOKUP($A58,'Teilnehmende - Starters'!$C:$Z,I$11,0)="","",VLOOKUP($A58,'Teilnehmende - Starters'!$C:$Z,I$11,0)))</f>
        <v/>
      </c>
      <c r="J58" s="1" t="str">
        <f>IF($A58="","",IF(VLOOKUP($A58,'Teilnehmende - Starters'!$C:$Z,J$11,0)="","",VLOOKUP($A58,'Teilnehmende - Starters'!$C:$Z,J$11,0)))</f>
        <v/>
      </c>
      <c r="K58" s="1" t="str">
        <f>IF($A58="","",IF(VLOOKUP($A58,'Teilnehmende - Starters'!$C:$Z,K$11,0)="","",VLOOKUP($A58,'Teilnehmende - Starters'!$C:$Z,K$11,0)))</f>
        <v/>
      </c>
      <c r="L58" s="1" t="str">
        <f>IF($A58="","",IF(VLOOKUP($A58,'Teilnehmende - Starters'!$C:$Z,L$11,0)="","",VLOOKUP($A58,'Teilnehmende - Starters'!$C:$Z,L$11,0)))</f>
        <v/>
      </c>
      <c r="M58" s="1" t="str">
        <f>IF($A58="","",IF(VLOOKUP($A58,'Teilnehmende - Starters'!$C:$Z,M$11,0)="","",VLOOKUP($A58,'Teilnehmende - Starters'!$C:$Z,M$11,0)))</f>
        <v/>
      </c>
      <c r="N58" s="17"/>
      <c r="O58" s="1" t="str">
        <f>IF(ISERROR(SMALL('Teilnehmende - Starters'!$D$81:$D$156,ROW(A44))),"",SMALL('Teilnehmende - Starters'!$D$81:$D$156,ROW(A44)))</f>
        <v/>
      </c>
      <c r="P58" s="1" t="str">
        <f>IF($O58="","",IF(VLOOKUP($O58,'Teilnehmende - Starters'!$D:$Z,P$11,0)="","",
IF(RIGHT(VLOOKUP($O58,'Teilnehmende - Starters'!$D:$Z,P$11,0),1)=" ",LEFT(VLOOKUP($O58,'Teilnehmende - Starters'!$D:$Z,P$11,0),LEN(VLOOKUP($O58,'Teilnehmende - Starters'!$D:$Z,P$11,0))-1),
VLOOKUP($O58,'Teilnehmende - Starters'!$D:$Z,P$11,0))))</f>
        <v/>
      </c>
      <c r="Q58" s="1" t="str">
        <f>IF($O58="","",IF(VLOOKUP($O58,'Teilnehmende - Starters'!$D:$Z,Q$11,0)="","",
IF(RIGHT(VLOOKUP($O58,'Teilnehmende - Starters'!$D:$Z,Q$11,0),1)=" ",LEFT(VLOOKUP($O58,'Teilnehmende - Starters'!$D:$Z,Q$11,0),LEN(VLOOKUP($O58,'Teilnehmende - Starters'!$D:$Z,Q$11,0))-1),
VLOOKUP($O58,'Teilnehmende - Starters'!$D:$Z,Q$11,0))))</f>
        <v/>
      </c>
      <c r="R58" s="1" t="str">
        <f t="shared" si="19"/>
        <v/>
      </c>
      <c r="S58" s="1" t="str">
        <f>IF($O58="","",IF(VLOOKUP($O58,'Teilnehmende - Starters'!$D:$Z,S$11,0)="","",VLOOKUP($O58,'Teilnehmende - Starters'!$D:$Z,S$11,0)))</f>
        <v/>
      </c>
      <c r="T58" s="1" t="str">
        <f>IF($O58="","",IF(VLOOKUP($O58,'Teilnehmende - Starters'!$D:$Z,T$11,0)="","",VLOOKUP($O58,'Teilnehmende - Starters'!$D:$Z,T$11,0)))</f>
        <v/>
      </c>
      <c r="U58" s="1" t="str">
        <f>IF($O58="","",IF(VLOOKUP(O58,'Teilnehmende - Starters'!$C:$I,7,0)="w",IF(OR(S58=20,S58=19),"DE","ME"),IF(OR(S58=20,S58=19),"HE","JE")))</f>
        <v/>
      </c>
      <c r="V58" s="1" t="str">
        <f t="shared" si="20"/>
        <v/>
      </c>
      <c r="W58" s="17"/>
      <c r="X58" s="1" t="str">
        <f>IF(ISERROR(SMALL('Teilnehmende - Starters'!$E$81:$E$156,ROW(A44))),"",SMALL('Teilnehmende - Starters'!$E$81:$E$156,ROW(A44)))</f>
        <v/>
      </c>
      <c r="Y58" s="1" t="str">
        <f>IF(X58="","",VLOOKUP(X58,'Teilnehmende - Starters'!$C:$Z,5,0)&amp;" "&amp;VLOOKUP(X58,'Teilnehmende - Starters'!$C:$Z,6,0))</f>
        <v/>
      </c>
      <c r="Z58" s="1" t="str">
        <f t="shared" si="21"/>
        <v/>
      </c>
      <c r="AA58" s="1" t="str">
        <f>IF(X58="","",IF(VLOOKUP(X58,'Teilnehmende - Starters'!$C:$Z,18,0)="Freimeldung",$A$2*100+99,VLOOKUP(Y58,'Teilnehmende - Starters'!$AA$5:$AD$80,4,FALSE)))</f>
        <v/>
      </c>
      <c r="AB58" s="1" t="str">
        <f>IF(AA58="","",IF(VLOOKUP(X58,'Teilnehmende - Starters'!$C:$Z,18,0)="Freimeldung","Freimeldung",VLOOKUP(AA58,$A$15:$E$77,4,0)&amp;" "&amp;VLOOKUP(AA58,$A$15:$E$77,5,0)))</f>
        <v/>
      </c>
      <c r="AC58" s="1" t="str">
        <f>IF(AA58="","",IF(VLOOKUP(X58,'Teilnehmende - Starters'!$C:$Z,18,0)="Freimeldung","",VLOOKUP(AA58,$A$15:$C$77,3,0)))</f>
        <v/>
      </c>
      <c r="AD58" s="1" t="str">
        <f>IF($X58="","",IF(VLOOKUP($X58,'Teilnehmende - Starters'!$C:$Z,AD$11,0)="","",VLOOKUP($X58,'Teilnehmende - Starters'!$C:$Z,AD$11,0)))</f>
        <v/>
      </c>
      <c r="AE58" s="1" t="str">
        <f>IF($X58="","",IF(VLOOKUP($X58,'Teilnehmende - Starters'!$C:$Z,AE$11,0)="","",VLOOKUP($X58,'Teilnehmende - Starters'!$C:$Z,AE$11,0)))</f>
        <v/>
      </c>
      <c r="AF58" s="1" t="str">
        <f>IF($X58="","",IF(VLOOKUP(X58,'Teilnehmende - Starters'!$C:$I,7,0)="w",IF(OR(AD58=20,AD58=19),"DD","MD"),IF(OR(AD58=20,AD58=19),"HD","JD")))</f>
        <v/>
      </c>
      <c r="AG58" s="1" t="str">
        <f t="shared" si="22"/>
        <v/>
      </c>
      <c r="AH58" s="17"/>
      <c r="AI58" s="1" t="str">
        <f>IF(ISERROR(SMALL('Teilnehmende - Starters'!$F$81:$F$156,ROW(#REF!))),"",SMALL('Teilnehmende - Starters'!$F$81:$F$156,ROW(#REF!)))</f>
        <v/>
      </c>
      <c r="AJ58" s="1" t="str">
        <f>IF(AI58="","",VLOOKUP(AI58,'Teilnehmende - Starters'!$C:$Z,5,0)&amp;" "&amp;VLOOKUP(AI58,'Teilnehmende - Starters'!$C:$Z,6,0))</f>
        <v/>
      </c>
      <c r="AK58" s="1" t="str">
        <f t="shared" si="23"/>
        <v/>
      </c>
      <c r="AL58" s="1" t="str">
        <f>IF(AI58="","",IF(VLOOKUP(AI58,'Teilnehmende - Starters'!$C:$AN,21,0)="Freimeldung",$A$2*100+99,VLOOKUP(AJ58,'Teilnehmende - Starters'!$AB$5:$AD$80,3,FALSE)))</f>
        <v/>
      </c>
      <c r="AM58" s="1" t="str">
        <f>IF(AL58="","",IF(VLOOKUP(AI58,'Teilnehmende - Starters'!$C:$Z,21,0)="Freimeldung","Freimeldung",VLOOKUP(AL58,$A$15:$E$77,4,0)&amp;" "&amp;VLOOKUP(AL58,$A$15:$E$77,5,0)))</f>
        <v/>
      </c>
      <c r="AN58" s="1" t="str">
        <f>IF(AL58="","",IF(VLOOKUP(AI58,'Teilnehmende - Starters'!$C:$Z,21,0)="Freimeldung","",VLOOKUP(AL58,$A$15:$C$77,3,0)))</f>
        <v/>
      </c>
      <c r="AO58" s="1" t="str">
        <f>IF($AI58="","",IF(VLOOKUP($AI58,'Teilnehmende - Starters'!$C:$Z,AO$11,0)="","",VLOOKUP($AI58,'Teilnehmende - Starters'!$C:$Z,AO$11,0)))</f>
        <v/>
      </c>
      <c r="AP58" s="1" t="str">
        <f>IF($AI58="","",IF(VLOOKUP($AI58,'Teilnehmende - Starters'!$C:$Z,AP$11,0)="","",VLOOKUP($AI58,'Teilnehmende - Starters'!$C:$Z,AP$11,0)))</f>
        <v/>
      </c>
      <c r="AQ58" s="1" t="str">
        <f t="shared" si="17"/>
        <v/>
      </c>
      <c r="AR58" s="1" t="str">
        <f t="shared" si="24"/>
        <v/>
      </c>
    </row>
    <row r="59" spans="1:44" x14ac:dyDescent="0.3">
      <c r="A59" s="1" t="str">
        <f>IF(ISERROR(SMALL('Teilnehmende - Starters'!$C$81:$C$156,ROW(A45))),"",SMALL('Teilnehmende - Starters'!$C$81:$C$156,ROW(A45)))</f>
        <v/>
      </c>
      <c r="B59" s="1" t="str">
        <f>IF($A59="","",IF(VLOOKUP($A59,'Teilnehmende - Starters'!$C:$Z,B$11,0)="","",SUBSTITUTE(VLOOKUP($A59,'Teilnehmende - Starters'!$C:$Z,B$11,0)," ","")))</f>
        <v/>
      </c>
      <c r="C59" s="1" t="str">
        <f>IF(A59="","",VLOOKUP(INT(A59/100),'Vereine - Clubs'!$C:$H,4,0))</f>
        <v/>
      </c>
      <c r="D59" s="1" t="str">
        <f>IF($A59="","",IF(VLOOKUP($A59,'Teilnehmende - Starters'!$C:$Z,D$11,0)="","",
IF(RIGHT(VLOOKUP($A59,'Teilnehmende - Starters'!$C:$Z,D$11,0),1)=" ",LEFT(VLOOKUP($A59,'Teilnehmende - Starters'!$C:$Z,D$11,0),LEN(VLOOKUP($A59,'Teilnehmende - Starters'!$C:$Z,D$11,0))-1),
VLOOKUP($A59,'Teilnehmende - Starters'!$C:$Z,D$11,0))))</f>
        <v/>
      </c>
      <c r="E59" s="1" t="str">
        <f>IF($A59="","",IF(VLOOKUP($A59,'Teilnehmende - Starters'!$C:$Z,E$11,0)="","",
IF(RIGHT(VLOOKUP($A59,'Teilnehmende - Starters'!$C:$Z,E$11,0),1)=" ",LEFT(VLOOKUP($A59,'Teilnehmende - Starters'!$C:$Z,E$11,0),LEN(VLOOKUP($A59,'Teilnehmende - Starters'!$C:$Z,E$11,0))-1),
VLOOKUP($A59,'Teilnehmende - Starters'!$C:$Z,E$11,0))))</f>
        <v/>
      </c>
      <c r="F59" s="72" t="str">
        <f>IF($A59="","",IF(VLOOKUP($A59,'Teilnehmende - Starters'!$C:$Z,F$11,0)="","",VLOOKUP($A59,'Teilnehmende - Starters'!$C:$Z,F$11,0)))</f>
        <v/>
      </c>
      <c r="G59" s="1" t="str">
        <f>IF($A59="","",IF(VLOOKUP($A59,'Teilnehmende - Starters'!$C:$Z,G$11,0)="","",VLOOKUP($A59,'Teilnehmende - Starters'!$C:$Z,G$11,0)))</f>
        <v/>
      </c>
      <c r="H59" s="1" t="str">
        <f>IF($A59="","",IF(VLOOKUP($A59,'Teilnehmende - Starters'!$C:$Z,H$11,0)="","",VLOOKUP($A59,'Teilnehmende - Starters'!$C:$Z,H$11,0)))</f>
        <v/>
      </c>
      <c r="I59" s="1" t="str">
        <f>IF($A59="","",IF(VLOOKUP($A59,'Teilnehmende - Starters'!$C:$Z,I$11,0)="","",VLOOKUP($A59,'Teilnehmende - Starters'!$C:$Z,I$11,0)))</f>
        <v/>
      </c>
      <c r="J59" s="1" t="str">
        <f>IF($A59="","",IF(VLOOKUP($A59,'Teilnehmende - Starters'!$C:$Z,J$11,0)="","",VLOOKUP($A59,'Teilnehmende - Starters'!$C:$Z,J$11,0)))</f>
        <v/>
      </c>
      <c r="K59" s="1" t="str">
        <f>IF($A59="","",IF(VLOOKUP($A59,'Teilnehmende - Starters'!$C:$Z,K$11,0)="","",VLOOKUP($A59,'Teilnehmende - Starters'!$C:$Z,K$11,0)))</f>
        <v/>
      </c>
      <c r="L59" s="1" t="str">
        <f>IF($A59="","",IF(VLOOKUP($A59,'Teilnehmende - Starters'!$C:$Z,L$11,0)="","",VLOOKUP($A59,'Teilnehmende - Starters'!$C:$Z,L$11,0)))</f>
        <v/>
      </c>
      <c r="M59" s="1" t="str">
        <f>IF($A59="","",IF(VLOOKUP($A59,'Teilnehmende - Starters'!$C:$Z,M$11,0)="","",VLOOKUP($A59,'Teilnehmende - Starters'!$C:$Z,M$11,0)))</f>
        <v/>
      </c>
      <c r="N59" s="17"/>
      <c r="O59" s="1" t="str">
        <f>IF(ISERROR(SMALL('Teilnehmende - Starters'!$D$81:$D$156,ROW(A45))),"",SMALL('Teilnehmende - Starters'!$D$81:$D$156,ROW(A45)))</f>
        <v/>
      </c>
      <c r="P59" s="1" t="str">
        <f>IF($O59="","",IF(VLOOKUP($O59,'Teilnehmende - Starters'!$D:$Z,P$11,0)="","",
IF(RIGHT(VLOOKUP($O59,'Teilnehmende - Starters'!$D:$Z,P$11,0),1)=" ",LEFT(VLOOKUP($O59,'Teilnehmende - Starters'!$D:$Z,P$11,0),LEN(VLOOKUP($O59,'Teilnehmende - Starters'!$D:$Z,P$11,0))-1),
VLOOKUP($O59,'Teilnehmende - Starters'!$D:$Z,P$11,0))))</f>
        <v/>
      </c>
      <c r="Q59" s="1" t="str">
        <f>IF($O59="","",IF(VLOOKUP($O59,'Teilnehmende - Starters'!$D:$Z,Q$11,0)="","",
IF(RIGHT(VLOOKUP($O59,'Teilnehmende - Starters'!$D:$Z,Q$11,0),1)=" ",LEFT(VLOOKUP($O59,'Teilnehmende - Starters'!$D:$Z,Q$11,0),LEN(VLOOKUP($O59,'Teilnehmende - Starters'!$D:$Z,Q$11,0))-1),
VLOOKUP($O59,'Teilnehmende - Starters'!$D:$Z,Q$11,0))))</f>
        <v/>
      </c>
      <c r="R59" s="1" t="str">
        <f t="shared" si="19"/>
        <v/>
      </c>
      <c r="S59" s="1" t="str">
        <f>IF($O59="","",IF(VLOOKUP($O59,'Teilnehmende - Starters'!$D:$Z,S$11,0)="","",VLOOKUP($O59,'Teilnehmende - Starters'!$D:$Z,S$11,0)))</f>
        <v/>
      </c>
      <c r="T59" s="1" t="str">
        <f>IF($O59="","",IF(VLOOKUP($O59,'Teilnehmende - Starters'!$D:$Z,T$11,0)="","",VLOOKUP($O59,'Teilnehmende - Starters'!$D:$Z,T$11,0)))</f>
        <v/>
      </c>
      <c r="U59" s="1" t="str">
        <f>IF($O59="","",IF(VLOOKUP(O59,'Teilnehmende - Starters'!$C:$I,7,0)="w",IF(OR(S59=20,S59=19),"DE","ME"),IF(OR(S59=20,S59=19),"HE","JE")))</f>
        <v/>
      </c>
      <c r="V59" s="1" t="str">
        <f t="shared" si="20"/>
        <v/>
      </c>
      <c r="W59" s="17"/>
      <c r="X59" s="1" t="str">
        <f>IF(ISERROR(SMALL('Teilnehmende - Starters'!$E$81:$E$156,ROW(A45))),"",SMALL('Teilnehmende - Starters'!$E$81:$E$156,ROW(A45)))</f>
        <v/>
      </c>
      <c r="Y59" s="1" t="str">
        <f>IF(X59="","",VLOOKUP(X59,'Teilnehmende - Starters'!$C:$Z,5,0)&amp;" "&amp;VLOOKUP(X59,'Teilnehmende - Starters'!$C:$Z,6,0))</f>
        <v/>
      </c>
      <c r="Z59" s="1" t="str">
        <f t="shared" si="21"/>
        <v/>
      </c>
      <c r="AA59" s="1" t="str">
        <f>IF(X59="","",IF(VLOOKUP(X59,'Teilnehmende - Starters'!$C:$Z,18,0)="Freimeldung",$A$2*100+99,VLOOKUP(Y59,'Teilnehmende - Starters'!$AA$5:$AD$80,4,FALSE)))</f>
        <v/>
      </c>
      <c r="AB59" s="1" t="str">
        <f>IF(AA59="","",IF(VLOOKUP(X59,'Teilnehmende - Starters'!$C:$Z,18,0)="Freimeldung","Freimeldung",VLOOKUP(AA59,$A$15:$E$77,4,0)&amp;" "&amp;VLOOKUP(AA59,$A$15:$E$77,5,0)))</f>
        <v/>
      </c>
      <c r="AC59" s="1" t="str">
        <f>IF(AA59="","",IF(VLOOKUP(X59,'Teilnehmende - Starters'!$C:$Z,18,0)="Freimeldung","",VLOOKUP(AA59,$A$15:$C$77,3,0)))</f>
        <v/>
      </c>
      <c r="AD59" s="1" t="str">
        <f>IF($X59="","",IF(VLOOKUP($X59,'Teilnehmende - Starters'!$C:$Z,AD$11,0)="","",VLOOKUP($X59,'Teilnehmende - Starters'!$C:$Z,AD$11,0)))</f>
        <v/>
      </c>
      <c r="AE59" s="1" t="str">
        <f>IF($X59="","",IF(VLOOKUP($X59,'Teilnehmende - Starters'!$C:$Z,AE$11,0)="","",VLOOKUP($X59,'Teilnehmende - Starters'!$C:$Z,AE$11,0)))</f>
        <v/>
      </c>
      <c r="AF59" s="1" t="str">
        <f>IF($X59="","",IF(VLOOKUP(X59,'Teilnehmende - Starters'!$C:$I,7,0)="w",IF(OR(AD59=20,AD59=19),"DD","MD"),IF(OR(AD59=20,AD59=19),"HD","JD")))</f>
        <v/>
      </c>
      <c r="AG59" s="1" t="str">
        <f t="shared" si="22"/>
        <v/>
      </c>
      <c r="AH59" s="17"/>
      <c r="AI59" s="1" t="str">
        <f>IF(ISERROR(SMALL('Teilnehmende - Starters'!$F$81:$F$156,ROW(#REF!))),"",SMALL('Teilnehmende - Starters'!$F$81:$F$156,ROW(#REF!)))</f>
        <v/>
      </c>
      <c r="AJ59" s="1" t="str">
        <f>IF(AI59="","",VLOOKUP(AI59,'Teilnehmende - Starters'!$C:$Z,5,0)&amp;" "&amp;VLOOKUP(AI59,'Teilnehmende - Starters'!$C:$Z,6,0))</f>
        <v/>
      </c>
      <c r="AK59" s="1" t="str">
        <f t="shared" si="23"/>
        <v/>
      </c>
      <c r="AL59" s="1" t="str">
        <f>IF(AI59="","",IF(VLOOKUP(AI59,'Teilnehmende - Starters'!$C:$AN,21,0)="Freimeldung",$A$2*100+99,VLOOKUP(AJ59,'Teilnehmende - Starters'!$AB$5:$AD$80,3,FALSE)))</f>
        <v/>
      </c>
      <c r="AM59" s="1" t="str">
        <f>IF(AL59="","",IF(VLOOKUP(AI59,'Teilnehmende - Starters'!$C:$Z,21,0)="Freimeldung","Freimeldung",VLOOKUP(AL59,$A$15:$E$77,4,0)&amp;" "&amp;VLOOKUP(AL59,$A$15:$E$77,5,0)))</f>
        <v/>
      </c>
      <c r="AN59" s="1" t="str">
        <f>IF(AL59="","",IF(VLOOKUP(AI59,'Teilnehmende - Starters'!$C:$Z,21,0)="Freimeldung","",VLOOKUP(AL59,$A$15:$C$77,3,0)))</f>
        <v/>
      </c>
      <c r="AO59" s="1" t="str">
        <f>IF($AI59="","",IF(VLOOKUP($AI59,'Teilnehmende - Starters'!$C:$Z,AO$11,0)="","",VLOOKUP($AI59,'Teilnehmende - Starters'!$C:$Z,AO$11,0)))</f>
        <v/>
      </c>
      <c r="AP59" s="1" t="str">
        <f>IF($AI59="","",IF(VLOOKUP($AI59,'Teilnehmende - Starters'!$C:$Z,AP$11,0)="","",VLOOKUP($AI59,'Teilnehmende - Starters'!$C:$Z,AP$11,0)))</f>
        <v/>
      </c>
      <c r="AQ59" s="1" t="str">
        <f t="shared" si="17"/>
        <v/>
      </c>
      <c r="AR59" s="1" t="str">
        <f t="shared" si="24"/>
        <v/>
      </c>
    </row>
    <row r="60" spans="1:44" x14ac:dyDescent="0.3">
      <c r="A60" s="1" t="str">
        <f>IF(ISERROR(SMALL('Teilnehmende - Starters'!$C$81:$C$156,ROW(A46))),"",SMALL('Teilnehmende - Starters'!$C$81:$C$156,ROW(A46)))</f>
        <v/>
      </c>
      <c r="B60" s="1" t="str">
        <f>IF($A60="","",IF(VLOOKUP($A60,'Teilnehmende - Starters'!$C:$Z,B$11,0)="","",SUBSTITUTE(VLOOKUP($A60,'Teilnehmende - Starters'!$C:$Z,B$11,0)," ","")))</f>
        <v/>
      </c>
      <c r="C60" s="1" t="str">
        <f>IF(A60="","",VLOOKUP(INT(A60/100),'Vereine - Clubs'!$C:$H,4,0))</f>
        <v/>
      </c>
      <c r="D60" s="1" t="str">
        <f>IF($A60="","",IF(VLOOKUP($A60,'Teilnehmende - Starters'!$C:$Z,D$11,0)="","",
IF(RIGHT(VLOOKUP($A60,'Teilnehmende - Starters'!$C:$Z,D$11,0),1)=" ",LEFT(VLOOKUP($A60,'Teilnehmende - Starters'!$C:$Z,D$11,0),LEN(VLOOKUP($A60,'Teilnehmende - Starters'!$C:$Z,D$11,0))-1),
VLOOKUP($A60,'Teilnehmende - Starters'!$C:$Z,D$11,0))))</f>
        <v/>
      </c>
      <c r="E60" s="1" t="str">
        <f>IF($A60="","",IF(VLOOKUP($A60,'Teilnehmende - Starters'!$C:$Z,E$11,0)="","",
IF(RIGHT(VLOOKUP($A60,'Teilnehmende - Starters'!$C:$Z,E$11,0),1)=" ",LEFT(VLOOKUP($A60,'Teilnehmende - Starters'!$C:$Z,E$11,0),LEN(VLOOKUP($A60,'Teilnehmende - Starters'!$C:$Z,E$11,0))-1),
VLOOKUP($A60,'Teilnehmende - Starters'!$C:$Z,E$11,0))))</f>
        <v/>
      </c>
      <c r="F60" s="72" t="str">
        <f>IF($A60="","",IF(VLOOKUP($A60,'Teilnehmende - Starters'!$C:$Z,F$11,0)="","",VLOOKUP($A60,'Teilnehmende - Starters'!$C:$Z,F$11,0)))</f>
        <v/>
      </c>
      <c r="G60" s="1" t="str">
        <f>IF($A60="","",IF(VLOOKUP($A60,'Teilnehmende - Starters'!$C:$Z,G$11,0)="","",VLOOKUP($A60,'Teilnehmende - Starters'!$C:$Z,G$11,0)))</f>
        <v/>
      </c>
      <c r="H60" s="1" t="str">
        <f>IF($A60="","",IF(VLOOKUP($A60,'Teilnehmende - Starters'!$C:$Z,H$11,0)="","",VLOOKUP($A60,'Teilnehmende - Starters'!$C:$Z,H$11,0)))</f>
        <v/>
      </c>
      <c r="I60" s="1" t="str">
        <f>IF($A60="","",IF(VLOOKUP($A60,'Teilnehmende - Starters'!$C:$Z,I$11,0)="","",VLOOKUP($A60,'Teilnehmende - Starters'!$C:$Z,I$11,0)))</f>
        <v/>
      </c>
      <c r="J60" s="1" t="str">
        <f>IF($A60="","",IF(VLOOKUP($A60,'Teilnehmende - Starters'!$C:$Z,J$11,0)="","",VLOOKUP($A60,'Teilnehmende - Starters'!$C:$Z,J$11,0)))</f>
        <v/>
      </c>
      <c r="K60" s="1" t="str">
        <f>IF($A60="","",IF(VLOOKUP($A60,'Teilnehmende - Starters'!$C:$Z,K$11,0)="","",VLOOKUP($A60,'Teilnehmende - Starters'!$C:$Z,K$11,0)))</f>
        <v/>
      </c>
      <c r="L60" s="1" t="str">
        <f>IF($A60="","",IF(VLOOKUP($A60,'Teilnehmende - Starters'!$C:$Z,L$11,0)="","",VLOOKUP($A60,'Teilnehmende - Starters'!$C:$Z,L$11,0)))</f>
        <v/>
      </c>
      <c r="M60" s="1" t="str">
        <f>IF($A60="","",IF(VLOOKUP($A60,'Teilnehmende - Starters'!$C:$Z,M$11,0)="","",VLOOKUP($A60,'Teilnehmende - Starters'!$C:$Z,M$11,0)))</f>
        <v/>
      </c>
      <c r="N60" s="17"/>
      <c r="O60" s="1" t="str">
        <f>IF(ISERROR(SMALL('Teilnehmende - Starters'!$D$81:$D$156,ROW(A46))),"",SMALL('Teilnehmende - Starters'!$D$81:$D$156,ROW(A46)))</f>
        <v/>
      </c>
      <c r="P60" s="1" t="str">
        <f>IF($O60="","",IF(VLOOKUP($O60,'Teilnehmende - Starters'!$D:$Z,P$11,0)="","",
IF(RIGHT(VLOOKUP($O60,'Teilnehmende - Starters'!$D:$Z,P$11,0),1)=" ",LEFT(VLOOKUP($O60,'Teilnehmende - Starters'!$D:$Z,P$11,0),LEN(VLOOKUP($O60,'Teilnehmende - Starters'!$D:$Z,P$11,0))-1),
VLOOKUP($O60,'Teilnehmende - Starters'!$D:$Z,P$11,0))))</f>
        <v/>
      </c>
      <c r="Q60" s="1" t="str">
        <f>IF($O60="","",IF(VLOOKUP($O60,'Teilnehmende - Starters'!$D:$Z,Q$11,0)="","",
IF(RIGHT(VLOOKUP($O60,'Teilnehmende - Starters'!$D:$Z,Q$11,0),1)=" ",LEFT(VLOOKUP($O60,'Teilnehmende - Starters'!$D:$Z,Q$11,0),LEN(VLOOKUP($O60,'Teilnehmende - Starters'!$D:$Z,Q$11,0))-1),
VLOOKUP($O60,'Teilnehmende - Starters'!$D:$Z,Q$11,0))))</f>
        <v/>
      </c>
      <c r="R60" s="1" t="str">
        <f t="shared" si="19"/>
        <v/>
      </c>
      <c r="S60" s="1" t="str">
        <f>IF($O60="","",IF(VLOOKUP($O60,'Teilnehmende - Starters'!$D:$Z,S$11,0)="","",VLOOKUP($O60,'Teilnehmende - Starters'!$D:$Z,S$11,0)))</f>
        <v/>
      </c>
      <c r="T60" s="1" t="str">
        <f>IF($O60="","",IF(VLOOKUP($O60,'Teilnehmende - Starters'!$D:$Z,T$11,0)="","",VLOOKUP($O60,'Teilnehmende - Starters'!$D:$Z,T$11,0)))</f>
        <v/>
      </c>
      <c r="U60" s="1" t="str">
        <f>IF($O60="","",IF(VLOOKUP(O60,'Teilnehmende - Starters'!$C:$I,7,0)="w",IF(OR(S60=20,S60=19),"DE","ME"),IF(OR(S60=20,S60=19),"HE","JE")))</f>
        <v/>
      </c>
      <c r="V60" s="1" t="str">
        <f t="shared" si="20"/>
        <v/>
      </c>
      <c r="W60" s="17"/>
      <c r="X60" s="1" t="str">
        <f>IF(ISERROR(SMALL('Teilnehmende - Starters'!$E$81:$E$156,ROW(A46))),"",SMALL('Teilnehmende - Starters'!$E$81:$E$156,ROW(A46)))</f>
        <v/>
      </c>
      <c r="Y60" s="1" t="str">
        <f>IF(X60="","",VLOOKUP(X60,'Teilnehmende - Starters'!$C:$Z,5,0)&amp;" "&amp;VLOOKUP(X60,'Teilnehmende - Starters'!$C:$Z,6,0))</f>
        <v/>
      </c>
      <c r="Z60" s="1" t="str">
        <f t="shared" si="21"/>
        <v/>
      </c>
      <c r="AA60" s="1" t="str">
        <f>IF(X60="","",IF(VLOOKUP(X60,'Teilnehmende - Starters'!$C:$Z,18,0)="Freimeldung",$A$2*100+99,VLOOKUP(Y60,'Teilnehmende - Starters'!$AA$5:$AD$80,4,FALSE)))</f>
        <v/>
      </c>
      <c r="AB60" s="1" t="str">
        <f>IF(AA60="","",IF(VLOOKUP(X60,'Teilnehmende - Starters'!$C:$Z,18,0)="Freimeldung","Freimeldung",VLOOKUP(AA60,$A$15:$E$77,4,0)&amp;" "&amp;VLOOKUP(AA60,$A$15:$E$77,5,0)))</f>
        <v/>
      </c>
      <c r="AC60" s="1" t="str">
        <f>IF(AA60="","",IF(VLOOKUP(X60,'Teilnehmende - Starters'!$C:$Z,18,0)="Freimeldung","",VLOOKUP(AA60,$A$15:$C$77,3,0)))</f>
        <v/>
      </c>
      <c r="AD60" s="1" t="str">
        <f>IF($X60="","",IF(VLOOKUP($X60,'Teilnehmende - Starters'!$C:$Z,AD$11,0)="","",VLOOKUP($X60,'Teilnehmende - Starters'!$C:$Z,AD$11,0)))</f>
        <v/>
      </c>
      <c r="AE60" s="1" t="str">
        <f>IF($X60="","",IF(VLOOKUP($X60,'Teilnehmende - Starters'!$C:$Z,AE$11,0)="","",VLOOKUP($X60,'Teilnehmende - Starters'!$C:$Z,AE$11,0)))</f>
        <v/>
      </c>
      <c r="AF60" s="1" t="str">
        <f>IF($X60="","",IF(VLOOKUP(X60,'Teilnehmende - Starters'!$C:$I,7,0)="w",IF(OR(AD60=20,AD60=19),"DD","MD"),IF(OR(AD60=20,AD60=19),"HD","JD")))</f>
        <v/>
      </c>
      <c r="AG60" s="1" t="str">
        <f t="shared" si="22"/>
        <v/>
      </c>
      <c r="AH60" s="17"/>
      <c r="AI60" s="1" t="str">
        <f>IF(ISERROR(SMALL('Teilnehmende - Starters'!$F$81:$F$156,ROW(#REF!))),"",SMALL('Teilnehmende - Starters'!$F$81:$F$156,ROW(#REF!)))</f>
        <v/>
      </c>
      <c r="AJ60" s="1" t="str">
        <f>IF(AI60="","",VLOOKUP(AI60,'Teilnehmende - Starters'!$C:$Z,5,0)&amp;" "&amp;VLOOKUP(AI60,'Teilnehmende - Starters'!$C:$Z,6,0))</f>
        <v/>
      </c>
      <c r="AK60" s="1" t="str">
        <f t="shared" si="23"/>
        <v/>
      </c>
      <c r="AL60" s="1" t="str">
        <f>IF(AI60="","",IF(VLOOKUP(AI60,'Teilnehmende - Starters'!$C:$AN,21,0)="Freimeldung",$A$2*100+99,VLOOKUP(AJ60,'Teilnehmende - Starters'!$AB$5:$AD$80,3,FALSE)))</f>
        <v/>
      </c>
      <c r="AM60" s="1" t="str">
        <f>IF(AL60="","",IF(VLOOKUP(AI60,'Teilnehmende - Starters'!$C:$Z,21,0)="Freimeldung","Freimeldung",VLOOKUP(AL60,$A$15:$E$77,4,0)&amp;" "&amp;VLOOKUP(AL60,$A$15:$E$77,5,0)))</f>
        <v/>
      </c>
      <c r="AN60" s="1" t="str">
        <f>IF(AL60="","",IF(VLOOKUP(AI60,'Teilnehmende - Starters'!$C:$Z,21,0)="Freimeldung","",VLOOKUP(AL60,$A$15:$C$77,3,0)))</f>
        <v/>
      </c>
      <c r="AO60" s="1" t="str">
        <f>IF($AI60="","",IF(VLOOKUP($AI60,'Teilnehmende - Starters'!$C:$Z,AO$11,0)="","",VLOOKUP($AI60,'Teilnehmende - Starters'!$C:$Z,AO$11,0)))</f>
        <v/>
      </c>
      <c r="AP60" s="1" t="str">
        <f>IF($AI60="","",IF(VLOOKUP($AI60,'Teilnehmende - Starters'!$C:$Z,AP$11,0)="","",VLOOKUP($AI60,'Teilnehmende - Starters'!$C:$Z,AP$11,0)))</f>
        <v/>
      </c>
      <c r="AQ60" s="1" t="str">
        <f t="shared" si="17"/>
        <v/>
      </c>
      <c r="AR60" s="1" t="str">
        <f t="shared" si="24"/>
        <v/>
      </c>
    </row>
    <row r="61" spans="1:44" x14ac:dyDescent="0.3">
      <c r="A61" s="1" t="str">
        <f>IF(ISERROR(SMALL('Teilnehmende - Starters'!$C$81:$C$156,ROW(A47))),"",SMALL('Teilnehmende - Starters'!$C$81:$C$156,ROW(A47)))</f>
        <v/>
      </c>
      <c r="B61" s="1" t="str">
        <f>IF($A61="","",IF(VLOOKUP($A61,'Teilnehmende - Starters'!$C:$Z,B$11,0)="","",SUBSTITUTE(VLOOKUP($A61,'Teilnehmende - Starters'!$C:$Z,B$11,0)," ","")))</f>
        <v/>
      </c>
      <c r="C61" s="1" t="str">
        <f>IF(A61="","",VLOOKUP(INT(A61/100),'Vereine - Clubs'!$C:$H,4,0))</f>
        <v/>
      </c>
      <c r="D61" s="1" t="str">
        <f>IF($A61="","",IF(VLOOKUP($A61,'Teilnehmende - Starters'!$C:$Z,D$11,0)="","",
IF(RIGHT(VLOOKUP($A61,'Teilnehmende - Starters'!$C:$Z,D$11,0),1)=" ",LEFT(VLOOKUP($A61,'Teilnehmende - Starters'!$C:$Z,D$11,0),LEN(VLOOKUP($A61,'Teilnehmende - Starters'!$C:$Z,D$11,0))-1),
VLOOKUP($A61,'Teilnehmende - Starters'!$C:$Z,D$11,0))))</f>
        <v/>
      </c>
      <c r="E61" s="1" t="str">
        <f>IF($A61="","",IF(VLOOKUP($A61,'Teilnehmende - Starters'!$C:$Z,E$11,0)="","",
IF(RIGHT(VLOOKUP($A61,'Teilnehmende - Starters'!$C:$Z,E$11,0),1)=" ",LEFT(VLOOKUP($A61,'Teilnehmende - Starters'!$C:$Z,E$11,0),LEN(VLOOKUP($A61,'Teilnehmende - Starters'!$C:$Z,E$11,0))-1),
VLOOKUP($A61,'Teilnehmende - Starters'!$C:$Z,E$11,0))))</f>
        <v/>
      </c>
      <c r="F61" s="72" t="str">
        <f>IF($A61="","",IF(VLOOKUP($A61,'Teilnehmende - Starters'!$C:$Z,F$11,0)="","",VLOOKUP($A61,'Teilnehmende - Starters'!$C:$Z,F$11,0)))</f>
        <v/>
      </c>
      <c r="G61" s="1" t="str">
        <f>IF($A61="","",IF(VLOOKUP($A61,'Teilnehmende - Starters'!$C:$Z,G$11,0)="","",VLOOKUP($A61,'Teilnehmende - Starters'!$C:$Z,G$11,0)))</f>
        <v/>
      </c>
      <c r="H61" s="1" t="str">
        <f>IF($A61="","",IF(VLOOKUP($A61,'Teilnehmende - Starters'!$C:$Z,H$11,0)="","",VLOOKUP($A61,'Teilnehmende - Starters'!$C:$Z,H$11,0)))</f>
        <v/>
      </c>
      <c r="I61" s="1" t="str">
        <f>IF($A61="","",IF(VLOOKUP($A61,'Teilnehmende - Starters'!$C:$Z,I$11,0)="","",VLOOKUP($A61,'Teilnehmende - Starters'!$C:$Z,I$11,0)))</f>
        <v/>
      </c>
      <c r="J61" s="1" t="str">
        <f>IF($A61="","",IF(VLOOKUP($A61,'Teilnehmende - Starters'!$C:$Z,J$11,0)="","",VLOOKUP($A61,'Teilnehmende - Starters'!$C:$Z,J$11,0)))</f>
        <v/>
      </c>
      <c r="K61" s="1" t="str">
        <f>IF($A61="","",IF(VLOOKUP($A61,'Teilnehmende - Starters'!$C:$Z,K$11,0)="","",VLOOKUP($A61,'Teilnehmende - Starters'!$C:$Z,K$11,0)))</f>
        <v/>
      </c>
      <c r="L61" s="1" t="str">
        <f>IF($A61="","",IF(VLOOKUP($A61,'Teilnehmende - Starters'!$C:$Z,L$11,0)="","",VLOOKUP($A61,'Teilnehmende - Starters'!$C:$Z,L$11,0)))</f>
        <v/>
      </c>
      <c r="M61" s="1" t="str">
        <f>IF($A61="","",IF(VLOOKUP($A61,'Teilnehmende - Starters'!$C:$Z,M$11,0)="","",VLOOKUP($A61,'Teilnehmende - Starters'!$C:$Z,M$11,0)))</f>
        <v/>
      </c>
      <c r="N61" s="17"/>
      <c r="O61" s="1" t="str">
        <f>IF(ISERROR(SMALL('Teilnehmende - Starters'!$D$81:$D$156,ROW(A47))),"",SMALL('Teilnehmende - Starters'!$D$81:$D$156,ROW(A47)))</f>
        <v/>
      </c>
      <c r="P61" s="1" t="str">
        <f>IF($O61="","",IF(VLOOKUP($O61,'Teilnehmende - Starters'!$D:$Z,P$11,0)="","",
IF(RIGHT(VLOOKUP($O61,'Teilnehmende - Starters'!$D:$Z,P$11,0),1)=" ",LEFT(VLOOKUP($O61,'Teilnehmende - Starters'!$D:$Z,P$11,0),LEN(VLOOKUP($O61,'Teilnehmende - Starters'!$D:$Z,P$11,0))-1),
VLOOKUP($O61,'Teilnehmende - Starters'!$D:$Z,P$11,0))))</f>
        <v/>
      </c>
      <c r="Q61" s="1" t="str">
        <f>IF($O61="","",IF(VLOOKUP($O61,'Teilnehmende - Starters'!$D:$Z,Q$11,0)="","",
IF(RIGHT(VLOOKUP($O61,'Teilnehmende - Starters'!$D:$Z,Q$11,0),1)=" ",LEFT(VLOOKUP($O61,'Teilnehmende - Starters'!$D:$Z,Q$11,0),LEN(VLOOKUP($O61,'Teilnehmende - Starters'!$D:$Z,Q$11,0))-1),
VLOOKUP($O61,'Teilnehmende - Starters'!$D:$Z,Q$11,0))))</f>
        <v/>
      </c>
      <c r="R61" s="1" t="str">
        <f t="shared" si="19"/>
        <v/>
      </c>
      <c r="S61" s="1" t="str">
        <f>IF($O61="","",IF(VLOOKUP($O61,'Teilnehmende - Starters'!$D:$Z,S$11,0)="","",VLOOKUP($O61,'Teilnehmende - Starters'!$D:$Z,S$11,0)))</f>
        <v/>
      </c>
      <c r="T61" s="1" t="str">
        <f>IF($O61="","",IF(VLOOKUP($O61,'Teilnehmende - Starters'!$D:$Z,T$11,0)="","",VLOOKUP($O61,'Teilnehmende - Starters'!$D:$Z,T$11,0)))</f>
        <v/>
      </c>
      <c r="U61" s="1" t="str">
        <f>IF($O61="","",IF(VLOOKUP(O61,'Teilnehmende - Starters'!$C:$I,7,0)="w",IF(OR(S61=20,S61=19),"DE","ME"),IF(OR(S61=20,S61=19),"HE","JE")))</f>
        <v/>
      </c>
      <c r="V61" s="1" t="str">
        <f t="shared" si="20"/>
        <v/>
      </c>
      <c r="W61" s="17"/>
      <c r="X61" s="1" t="str">
        <f>IF(ISERROR(SMALL('Teilnehmende - Starters'!$E$81:$E$156,ROW(A47))),"",SMALL('Teilnehmende - Starters'!$E$81:$E$156,ROW(A47)))</f>
        <v/>
      </c>
      <c r="Y61" s="1" t="str">
        <f>IF(X61="","",VLOOKUP(X61,'Teilnehmende - Starters'!$C:$Z,5,0)&amp;" "&amp;VLOOKUP(X61,'Teilnehmende - Starters'!$C:$Z,6,0))</f>
        <v/>
      </c>
      <c r="Z61" s="1" t="str">
        <f t="shared" si="21"/>
        <v/>
      </c>
      <c r="AA61" s="1" t="str">
        <f>IF(X61="","",IF(VLOOKUP(X61,'Teilnehmende - Starters'!$C:$Z,18,0)="Freimeldung",$A$2*100+99,VLOOKUP(Y61,'Teilnehmende - Starters'!$AA$5:$AD$80,4,FALSE)))</f>
        <v/>
      </c>
      <c r="AB61" s="1" t="str">
        <f>IF(AA61="","",IF(VLOOKUP(X61,'Teilnehmende - Starters'!$C:$Z,18,0)="Freimeldung","Freimeldung",VLOOKUP(AA61,$A$15:$E$77,4,0)&amp;" "&amp;VLOOKUP(AA61,$A$15:$E$77,5,0)))</f>
        <v/>
      </c>
      <c r="AC61" s="1" t="str">
        <f>IF(AA61="","",IF(VLOOKUP(X61,'Teilnehmende - Starters'!$C:$Z,18,0)="Freimeldung","",VLOOKUP(AA61,$A$15:$C$77,3,0)))</f>
        <v/>
      </c>
      <c r="AD61" s="1" t="str">
        <f>IF($X61="","",IF(VLOOKUP($X61,'Teilnehmende - Starters'!$C:$Z,AD$11,0)="","",VLOOKUP($X61,'Teilnehmende - Starters'!$C:$Z,AD$11,0)))</f>
        <v/>
      </c>
      <c r="AE61" s="1" t="str">
        <f>IF($X61="","",IF(VLOOKUP($X61,'Teilnehmende - Starters'!$C:$Z,AE$11,0)="","",VLOOKUP($X61,'Teilnehmende - Starters'!$C:$Z,AE$11,0)))</f>
        <v/>
      </c>
      <c r="AF61" s="1" t="str">
        <f>IF($X61="","",IF(VLOOKUP(X61,'Teilnehmende - Starters'!$C:$I,7,0)="w",IF(OR(AD61=20,AD61=19),"DD","MD"),IF(OR(AD61=20,AD61=19),"HD","JD")))</f>
        <v/>
      </c>
      <c r="AG61" s="1" t="str">
        <f t="shared" si="22"/>
        <v/>
      </c>
      <c r="AH61" s="17"/>
      <c r="AI61" s="1" t="str">
        <f>IF(ISERROR(SMALL('Teilnehmende - Starters'!$F$81:$F$156,ROW(#REF!))),"",SMALL('Teilnehmende - Starters'!$F$81:$F$156,ROW(#REF!)))</f>
        <v/>
      </c>
      <c r="AJ61" s="1" t="str">
        <f>IF(AI61="","",VLOOKUP(AI61,'Teilnehmende - Starters'!$C:$Z,5,0)&amp;" "&amp;VLOOKUP(AI61,'Teilnehmende - Starters'!$C:$Z,6,0))</f>
        <v/>
      </c>
      <c r="AK61" s="1" t="str">
        <f t="shared" si="23"/>
        <v/>
      </c>
      <c r="AL61" s="1" t="str">
        <f>IF(AI61="","",IF(VLOOKUP(AI61,'Teilnehmende - Starters'!$C:$AN,21,0)="Freimeldung",$A$2*100+99,VLOOKUP(AJ61,'Teilnehmende - Starters'!$AB$5:$AD$80,3,FALSE)))</f>
        <v/>
      </c>
      <c r="AM61" s="1" t="str">
        <f>IF(AL61="","",IF(VLOOKUP(AI61,'Teilnehmende - Starters'!$C:$Z,21,0)="Freimeldung","Freimeldung",VLOOKUP(AL61,$A$15:$E$77,4,0)&amp;" "&amp;VLOOKUP(AL61,$A$15:$E$77,5,0)))</f>
        <v/>
      </c>
      <c r="AN61" s="1" t="str">
        <f>IF(AL61="","",IF(VLOOKUP(AI61,'Teilnehmende - Starters'!$C:$Z,21,0)="Freimeldung","",VLOOKUP(AL61,$A$15:$C$77,3,0)))</f>
        <v/>
      </c>
      <c r="AO61" s="1" t="str">
        <f>IF($AI61="","",IF(VLOOKUP($AI61,'Teilnehmende - Starters'!$C:$Z,AO$11,0)="","",VLOOKUP($AI61,'Teilnehmende - Starters'!$C:$Z,AO$11,0)))</f>
        <v/>
      </c>
      <c r="AP61" s="1" t="str">
        <f>IF($AI61="","",IF(VLOOKUP($AI61,'Teilnehmende - Starters'!$C:$Z,AP$11,0)="","",VLOOKUP($AI61,'Teilnehmende - Starters'!$C:$Z,AP$11,0)))</f>
        <v/>
      </c>
      <c r="AQ61" s="1" t="str">
        <f t="shared" si="17"/>
        <v/>
      </c>
      <c r="AR61" s="1" t="str">
        <f t="shared" si="24"/>
        <v/>
      </c>
    </row>
    <row r="62" spans="1:44" x14ac:dyDescent="0.3">
      <c r="A62" s="1" t="str">
        <f>IF(ISERROR(SMALL('Teilnehmende - Starters'!$C$81:$C$156,ROW(A48))),"",SMALL('Teilnehmende - Starters'!$C$81:$C$156,ROW(A48)))</f>
        <v/>
      </c>
      <c r="B62" s="1" t="str">
        <f>IF($A62="","",IF(VLOOKUP($A62,'Teilnehmende - Starters'!$C:$Z,B$11,0)="","",SUBSTITUTE(VLOOKUP($A62,'Teilnehmende - Starters'!$C:$Z,B$11,0)," ","")))</f>
        <v/>
      </c>
      <c r="C62" s="1" t="str">
        <f>IF(A62="","",VLOOKUP(INT(A62/100),'Vereine - Clubs'!$C:$H,4,0))</f>
        <v/>
      </c>
      <c r="D62" s="1" t="str">
        <f>IF($A62="","",IF(VLOOKUP($A62,'Teilnehmende - Starters'!$C:$Z,D$11,0)="","",
IF(RIGHT(VLOOKUP($A62,'Teilnehmende - Starters'!$C:$Z,D$11,0),1)=" ",LEFT(VLOOKUP($A62,'Teilnehmende - Starters'!$C:$Z,D$11,0),LEN(VLOOKUP($A62,'Teilnehmende - Starters'!$C:$Z,D$11,0))-1),
VLOOKUP($A62,'Teilnehmende - Starters'!$C:$Z,D$11,0))))</f>
        <v/>
      </c>
      <c r="E62" s="1" t="str">
        <f>IF($A62="","",IF(VLOOKUP($A62,'Teilnehmende - Starters'!$C:$Z,E$11,0)="","",
IF(RIGHT(VLOOKUP($A62,'Teilnehmende - Starters'!$C:$Z,E$11,0),1)=" ",LEFT(VLOOKUP($A62,'Teilnehmende - Starters'!$C:$Z,E$11,0),LEN(VLOOKUP($A62,'Teilnehmende - Starters'!$C:$Z,E$11,0))-1),
VLOOKUP($A62,'Teilnehmende - Starters'!$C:$Z,E$11,0))))</f>
        <v/>
      </c>
      <c r="F62" s="72" t="str">
        <f>IF($A62="","",IF(VLOOKUP($A62,'Teilnehmende - Starters'!$C:$Z,F$11,0)="","",VLOOKUP($A62,'Teilnehmende - Starters'!$C:$Z,F$11,0)))</f>
        <v/>
      </c>
      <c r="G62" s="1" t="str">
        <f>IF($A62="","",IF(VLOOKUP($A62,'Teilnehmende - Starters'!$C:$Z,G$11,0)="","",VLOOKUP($A62,'Teilnehmende - Starters'!$C:$Z,G$11,0)))</f>
        <v/>
      </c>
      <c r="H62" s="1" t="str">
        <f>IF($A62="","",IF(VLOOKUP($A62,'Teilnehmende - Starters'!$C:$Z,H$11,0)="","",VLOOKUP($A62,'Teilnehmende - Starters'!$C:$Z,H$11,0)))</f>
        <v/>
      </c>
      <c r="I62" s="1" t="str">
        <f>IF($A62="","",IF(VLOOKUP($A62,'Teilnehmende - Starters'!$C:$Z,I$11,0)="","",VLOOKUP($A62,'Teilnehmende - Starters'!$C:$Z,I$11,0)))</f>
        <v/>
      </c>
      <c r="J62" s="1" t="str">
        <f>IF($A62="","",IF(VLOOKUP($A62,'Teilnehmende - Starters'!$C:$Z,J$11,0)="","",VLOOKUP($A62,'Teilnehmende - Starters'!$C:$Z,J$11,0)))</f>
        <v/>
      </c>
      <c r="K62" s="1" t="str">
        <f>IF($A62="","",IF(VLOOKUP($A62,'Teilnehmende - Starters'!$C:$Z,K$11,0)="","",VLOOKUP($A62,'Teilnehmende - Starters'!$C:$Z,K$11,0)))</f>
        <v/>
      </c>
      <c r="L62" s="1" t="str">
        <f>IF($A62="","",IF(VLOOKUP($A62,'Teilnehmende - Starters'!$C:$Z,L$11,0)="","",VLOOKUP($A62,'Teilnehmende - Starters'!$C:$Z,L$11,0)))</f>
        <v/>
      </c>
      <c r="M62" s="1" t="str">
        <f>IF($A62="","",IF(VLOOKUP($A62,'Teilnehmende - Starters'!$C:$Z,M$11,0)="","",VLOOKUP($A62,'Teilnehmende - Starters'!$C:$Z,M$11,0)))</f>
        <v/>
      </c>
      <c r="N62" s="17"/>
      <c r="O62" s="1" t="str">
        <f>IF(ISERROR(SMALL('Teilnehmende - Starters'!$D$81:$D$156,ROW(A48))),"",SMALL('Teilnehmende - Starters'!$D$81:$D$156,ROW(A48)))</f>
        <v/>
      </c>
      <c r="P62" s="1" t="str">
        <f>IF($O62="","",IF(VLOOKUP($O62,'Teilnehmende - Starters'!$D:$Z,P$11,0)="","",
IF(RIGHT(VLOOKUP($O62,'Teilnehmende - Starters'!$D:$Z,P$11,0),1)=" ",LEFT(VLOOKUP($O62,'Teilnehmende - Starters'!$D:$Z,P$11,0),LEN(VLOOKUP($O62,'Teilnehmende - Starters'!$D:$Z,P$11,0))-1),
VLOOKUP($O62,'Teilnehmende - Starters'!$D:$Z,P$11,0))))</f>
        <v/>
      </c>
      <c r="Q62" s="1" t="str">
        <f>IF($O62="","",IF(VLOOKUP($O62,'Teilnehmende - Starters'!$D:$Z,Q$11,0)="","",
IF(RIGHT(VLOOKUP($O62,'Teilnehmende - Starters'!$D:$Z,Q$11,0),1)=" ",LEFT(VLOOKUP($O62,'Teilnehmende - Starters'!$D:$Z,Q$11,0),LEN(VLOOKUP($O62,'Teilnehmende - Starters'!$D:$Z,Q$11,0))-1),
VLOOKUP($O62,'Teilnehmende - Starters'!$D:$Z,Q$11,0))))</f>
        <v/>
      </c>
      <c r="R62" s="1" t="str">
        <f t="shared" si="19"/>
        <v/>
      </c>
      <c r="S62" s="1" t="str">
        <f>IF($O62="","",IF(VLOOKUP($O62,'Teilnehmende - Starters'!$D:$Z,S$11,0)="","",VLOOKUP($O62,'Teilnehmende - Starters'!$D:$Z,S$11,0)))</f>
        <v/>
      </c>
      <c r="T62" s="1" t="str">
        <f>IF($O62="","",IF(VLOOKUP($O62,'Teilnehmende - Starters'!$D:$Z,T$11,0)="","",VLOOKUP($O62,'Teilnehmende - Starters'!$D:$Z,T$11,0)))</f>
        <v/>
      </c>
      <c r="U62" s="1" t="str">
        <f>IF($O62="","",IF(VLOOKUP(O62,'Teilnehmende - Starters'!$C:$I,7,0)="w",IF(OR(S62=20,S62=19),"DE","ME"),IF(OR(S62=20,S62=19),"HE","JE")))</f>
        <v/>
      </c>
      <c r="V62" s="1" t="str">
        <f t="shared" si="20"/>
        <v/>
      </c>
      <c r="W62" s="17"/>
      <c r="X62" s="1" t="str">
        <f>IF(ISERROR(SMALL('Teilnehmende - Starters'!$E$81:$E$156,ROW(A48))),"",SMALL('Teilnehmende - Starters'!$E$81:$E$156,ROW(A48)))</f>
        <v/>
      </c>
      <c r="Y62" s="1" t="str">
        <f>IF(X62="","",VLOOKUP(X62,'Teilnehmende - Starters'!$C:$Z,5,0)&amp;" "&amp;VLOOKUP(X62,'Teilnehmende - Starters'!$C:$Z,6,0))</f>
        <v/>
      </c>
      <c r="Z62" s="1" t="str">
        <f t="shared" si="21"/>
        <v/>
      </c>
      <c r="AA62" s="1" t="str">
        <f>IF(X62="","",IF(VLOOKUP(X62,'Teilnehmende - Starters'!$C:$Z,18,0)="Freimeldung",$A$2*100+99,VLOOKUP(Y62,'Teilnehmende - Starters'!$AA$5:$AD$80,4,FALSE)))</f>
        <v/>
      </c>
      <c r="AB62" s="1" t="str">
        <f>IF(AA62="","",IF(VLOOKUP(X62,'Teilnehmende - Starters'!$C:$Z,18,0)="Freimeldung","Freimeldung",VLOOKUP(AA62,$A$15:$E$77,4,0)&amp;" "&amp;VLOOKUP(AA62,$A$15:$E$77,5,0)))</f>
        <v/>
      </c>
      <c r="AC62" s="1" t="str">
        <f>IF(AA62="","",IF(VLOOKUP(X62,'Teilnehmende - Starters'!$C:$Z,18,0)="Freimeldung","",VLOOKUP(AA62,$A$15:$C$77,3,0)))</f>
        <v/>
      </c>
      <c r="AD62" s="1" t="str">
        <f>IF($X62="","",IF(VLOOKUP($X62,'Teilnehmende - Starters'!$C:$Z,AD$11,0)="","",VLOOKUP($X62,'Teilnehmende - Starters'!$C:$Z,AD$11,0)))</f>
        <v/>
      </c>
      <c r="AE62" s="1" t="str">
        <f>IF($X62="","",IF(VLOOKUP($X62,'Teilnehmende - Starters'!$C:$Z,AE$11,0)="","",VLOOKUP($X62,'Teilnehmende - Starters'!$C:$Z,AE$11,0)))</f>
        <v/>
      </c>
      <c r="AF62" s="1" t="str">
        <f>IF($X62="","",IF(VLOOKUP(X62,'Teilnehmende - Starters'!$C:$I,7,0)="w",IF(OR(AD62=20,AD62=19),"DD","MD"),IF(OR(AD62=20,AD62=19),"HD","JD")))</f>
        <v/>
      </c>
      <c r="AG62" s="1" t="str">
        <f t="shared" si="22"/>
        <v/>
      </c>
      <c r="AH62" s="17"/>
      <c r="AI62" s="1" t="str">
        <f>IF(ISERROR(SMALL('Teilnehmende - Starters'!$F$81:$F$156,ROW(#REF!))),"",SMALL('Teilnehmende - Starters'!$F$81:$F$156,ROW(#REF!)))</f>
        <v/>
      </c>
      <c r="AJ62" s="1" t="str">
        <f>IF(AI62="","",VLOOKUP(AI62,'Teilnehmende - Starters'!$C:$Z,5,0)&amp;" "&amp;VLOOKUP(AI62,'Teilnehmende - Starters'!$C:$Z,6,0))</f>
        <v/>
      </c>
      <c r="AK62" s="1" t="str">
        <f t="shared" si="23"/>
        <v/>
      </c>
      <c r="AL62" s="1" t="str">
        <f>IF(AI62="","",IF(VLOOKUP(AI62,'Teilnehmende - Starters'!$C:$AN,21,0)="Freimeldung",$A$2*100+99,VLOOKUP(AJ62,'Teilnehmende - Starters'!$AB$5:$AD$80,3,FALSE)))</f>
        <v/>
      </c>
      <c r="AM62" s="1" t="str">
        <f>IF(AL62="","",IF(VLOOKUP(AI62,'Teilnehmende - Starters'!$C:$Z,21,0)="Freimeldung","Freimeldung",VLOOKUP(AL62,$A$15:$E$77,4,0)&amp;" "&amp;VLOOKUP(AL62,$A$15:$E$77,5,0)))</f>
        <v/>
      </c>
      <c r="AN62" s="1" t="str">
        <f>IF(AL62="","",IF(VLOOKUP(AI62,'Teilnehmende - Starters'!$C:$Z,21,0)="Freimeldung","",VLOOKUP(AL62,$A$15:$C$77,3,0)))</f>
        <v/>
      </c>
      <c r="AO62" s="1" t="str">
        <f>IF($AI62="","",IF(VLOOKUP($AI62,'Teilnehmende - Starters'!$C:$Z,AO$11,0)="","",VLOOKUP($AI62,'Teilnehmende - Starters'!$C:$Z,AO$11,0)))</f>
        <v/>
      </c>
      <c r="AP62" s="1" t="str">
        <f>IF($AI62="","",IF(VLOOKUP($AI62,'Teilnehmende - Starters'!$C:$Z,AP$11,0)="","",VLOOKUP($AI62,'Teilnehmende - Starters'!$C:$Z,AP$11,0)))</f>
        <v/>
      </c>
      <c r="AQ62" s="1" t="str">
        <f t="shared" si="17"/>
        <v/>
      </c>
      <c r="AR62" s="1" t="str">
        <f t="shared" si="24"/>
        <v/>
      </c>
    </row>
    <row r="63" spans="1:44" x14ac:dyDescent="0.3">
      <c r="A63" s="1" t="str">
        <f>IF(ISERROR(SMALL('Teilnehmende - Starters'!$C$81:$C$156,ROW(A49))),"",SMALL('Teilnehmende - Starters'!$C$81:$C$156,ROW(A49)))</f>
        <v/>
      </c>
      <c r="B63" s="1" t="str">
        <f>IF($A63="","",IF(VLOOKUP($A63,'Teilnehmende - Starters'!$C:$Z,B$11,0)="","",SUBSTITUTE(VLOOKUP($A63,'Teilnehmende - Starters'!$C:$Z,B$11,0)," ","")))</f>
        <v/>
      </c>
      <c r="C63" s="1" t="str">
        <f>IF(A63="","",VLOOKUP(INT(A63/100),'Vereine - Clubs'!$C:$H,4,0))</f>
        <v/>
      </c>
      <c r="D63" s="1" t="str">
        <f>IF($A63="","",IF(VLOOKUP($A63,'Teilnehmende - Starters'!$C:$Z,D$11,0)="","",
IF(RIGHT(VLOOKUP($A63,'Teilnehmende - Starters'!$C:$Z,D$11,0),1)=" ",LEFT(VLOOKUP($A63,'Teilnehmende - Starters'!$C:$Z,D$11,0),LEN(VLOOKUP($A63,'Teilnehmende - Starters'!$C:$Z,D$11,0))-1),
VLOOKUP($A63,'Teilnehmende - Starters'!$C:$Z,D$11,0))))</f>
        <v/>
      </c>
      <c r="E63" s="1" t="str">
        <f>IF($A63="","",IF(VLOOKUP($A63,'Teilnehmende - Starters'!$C:$Z,E$11,0)="","",
IF(RIGHT(VLOOKUP($A63,'Teilnehmende - Starters'!$C:$Z,E$11,0),1)=" ",LEFT(VLOOKUP($A63,'Teilnehmende - Starters'!$C:$Z,E$11,0),LEN(VLOOKUP($A63,'Teilnehmende - Starters'!$C:$Z,E$11,0))-1),
VLOOKUP($A63,'Teilnehmende - Starters'!$C:$Z,E$11,0))))</f>
        <v/>
      </c>
      <c r="F63" s="72" t="str">
        <f>IF($A63="","",IF(VLOOKUP($A63,'Teilnehmende - Starters'!$C:$Z,F$11,0)="","",VLOOKUP($A63,'Teilnehmende - Starters'!$C:$Z,F$11,0)))</f>
        <v/>
      </c>
      <c r="G63" s="1" t="str">
        <f>IF($A63="","",IF(VLOOKUP($A63,'Teilnehmende - Starters'!$C:$Z,G$11,0)="","",VLOOKUP($A63,'Teilnehmende - Starters'!$C:$Z,G$11,0)))</f>
        <v/>
      </c>
      <c r="H63" s="1" t="str">
        <f>IF($A63="","",IF(VLOOKUP($A63,'Teilnehmende - Starters'!$C:$Z,H$11,0)="","",VLOOKUP($A63,'Teilnehmende - Starters'!$C:$Z,H$11,0)))</f>
        <v/>
      </c>
      <c r="I63" s="1" t="str">
        <f>IF($A63="","",IF(VLOOKUP($A63,'Teilnehmende - Starters'!$C:$Z,I$11,0)="","",VLOOKUP($A63,'Teilnehmende - Starters'!$C:$Z,I$11,0)))</f>
        <v/>
      </c>
      <c r="J63" s="1" t="str">
        <f>IF($A63="","",IF(VLOOKUP($A63,'Teilnehmende - Starters'!$C:$Z,J$11,0)="","",VLOOKUP($A63,'Teilnehmende - Starters'!$C:$Z,J$11,0)))</f>
        <v/>
      </c>
      <c r="K63" s="1" t="str">
        <f>IF($A63="","",IF(VLOOKUP($A63,'Teilnehmende - Starters'!$C:$Z,K$11,0)="","",VLOOKUP($A63,'Teilnehmende - Starters'!$C:$Z,K$11,0)))</f>
        <v/>
      </c>
      <c r="L63" s="1" t="str">
        <f>IF($A63="","",IF(VLOOKUP($A63,'Teilnehmende - Starters'!$C:$Z,L$11,0)="","",VLOOKUP($A63,'Teilnehmende - Starters'!$C:$Z,L$11,0)))</f>
        <v/>
      </c>
      <c r="M63" s="1" t="str">
        <f>IF($A63="","",IF(VLOOKUP($A63,'Teilnehmende - Starters'!$C:$Z,M$11,0)="","",VLOOKUP($A63,'Teilnehmende - Starters'!$C:$Z,M$11,0)))</f>
        <v/>
      </c>
      <c r="N63" s="17"/>
      <c r="O63" s="1" t="str">
        <f>IF(ISERROR(SMALL('Teilnehmende - Starters'!$D$81:$D$156,ROW(A49))),"",SMALL('Teilnehmende - Starters'!$D$81:$D$156,ROW(A49)))</f>
        <v/>
      </c>
      <c r="P63" s="1" t="str">
        <f>IF($O63="","",IF(VLOOKUP($O63,'Teilnehmende - Starters'!$D:$Z,P$11,0)="","",
IF(RIGHT(VLOOKUP($O63,'Teilnehmende - Starters'!$D:$Z,P$11,0),1)=" ",LEFT(VLOOKUP($O63,'Teilnehmende - Starters'!$D:$Z,P$11,0),LEN(VLOOKUP($O63,'Teilnehmende - Starters'!$D:$Z,P$11,0))-1),
VLOOKUP($O63,'Teilnehmende - Starters'!$D:$Z,P$11,0))))</f>
        <v/>
      </c>
      <c r="Q63" s="1" t="str">
        <f>IF($O63="","",IF(VLOOKUP($O63,'Teilnehmende - Starters'!$D:$Z,Q$11,0)="","",
IF(RIGHT(VLOOKUP($O63,'Teilnehmende - Starters'!$D:$Z,Q$11,0),1)=" ",LEFT(VLOOKUP($O63,'Teilnehmende - Starters'!$D:$Z,Q$11,0),LEN(VLOOKUP($O63,'Teilnehmende - Starters'!$D:$Z,Q$11,0))-1),
VLOOKUP($O63,'Teilnehmende - Starters'!$D:$Z,Q$11,0))))</f>
        <v/>
      </c>
      <c r="R63" s="1" t="str">
        <f t="shared" si="19"/>
        <v/>
      </c>
      <c r="S63" s="1" t="str">
        <f>IF($O63="","",IF(VLOOKUP($O63,'Teilnehmende - Starters'!$D:$Z,S$11,0)="","",VLOOKUP($O63,'Teilnehmende - Starters'!$D:$Z,S$11,0)))</f>
        <v/>
      </c>
      <c r="T63" s="1" t="str">
        <f>IF($O63="","",IF(VLOOKUP($O63,'Teilnehmende - Starters'!$D:$Z,T$11,0)="","",VLOOKUP($O63,'Teilnehmende - Starters'!$D:$Z,T$11,0)))</f>
        <v/>
      </c>
      <c r="U63" s="1" t="str">
        <f>IF($O63="","",IF(VLOOKUP(O63,'Teilnehmende - Starters'!$C:$I,7,0)="w",IF(OR(S63=20,S63=19),"DE","ME"),IF(OR(S63=20,S63=19),"HE","JE")))</f>
        <v/>
      </c>
      <c r="V63" s="1" t="str">
        <f t="shared" si="20"/>
        <v/>
      </c>
      <c r="W63" s="17"/>
      <c r="X63" s="1" t="str">
        <f>IF(ISERROR(SMALL('Teilnehmende - Starters'!$E$81:$E$156,ROW(A49))),"",SMALL('Teilnehmende - Starters'!$E$81:$E$156,ROW(A49)))</f>
        <v/>
      </c>
      <c r="Y63" s="1" t="str">
        <f>IF(X63="","",VLOOKUP(X63,'Teilnehmende - Starters'!$C:$Z,5,0)&amp;" "&amp;VLOOKUP(X63,'Teilnehmende - Starters'!$C:$Z,6,0))</f>
        <v/>
      </c>
      <c r="Z63" s="1" t="str">
        <f t="shared" si="21"/>
        <v/>
      </c>
      <c r="AA63" s="1" t="str">
        <f>IF(X63="","",IF(VLOOKUP(X63,'Teilnehmende - Starters'!$C:$Z,18,0)="Freimeldung",$A$2*100+99,VLOOKUP(Y63,'Teilnehmende - Starters'!$AA$5:$AD$80,4,FALSE)))</f>
        <v/>
      </c>
      <c r="AB63" s="1" t="str">
        <f>IF(AA63="","",IF(VLOOKUP(X63,'Teilnehmende - Starters'!$C:$Z,18,0)="Freimeldung","Freimeldung",VLOOKUP(AA63,$A$15:$E$77,4,0)&amp;" "&amp;VLOOKUP(AA63,$A$15:$E$77,5,0)))</f>
        <v/>
      </c>
      <c r="AC63" s="1" t="str">
        <f>IF(AA63="","",IF(VLOOKUP(X63,'Teilnehmende - Starters'!$C:$Z,18,0)="Freimeldung","",VLOOKUP(AA63,$A$15:$C$77,3,0)))</f>
        <v/>
      </c>
      <c r="AD63" s="1" t="str">
        <f>IF($X63="","",IF(VLOOKUP($X63,'Teilnehmende - Starters'!$C:$Z,AD$11,0)="","",VLOOKUP($X63,'Teilnehmende - Starters'!$C:$Z,AD$11,0)))</f>
        <v/>
      </c>
      <c r="AE63" s="1" t="str">
        <f>IF($X63="","",IF(VLOOKUP($X63,'Teilnehmende - Starters'!$C:$Z,AE$11,0)="","",VLOOKUP($X63,'Teilnehmende - Starters'!$C:$Z,AE$11,0)))</f>
        <v/>
      </c>
      <c r="AF63" s="1" t="str">
        <f>IF($X63="","",IF(VLOOKUP(X63,'Teilnehmende - Starters'!$C:$I,7,0)="w",IF(OR(AD63=20,AD63=19),"DD","MD"),IF(OR(AD63=20,AD63=19),"HD","JD")))</f>
        <v/>
      </c>
      <c r="AG63" s="1" t="str">
        <f t="shared" si="22"/>
        <v/>
      </c>
      <c r="AH63" s="17"/>
      <c r="AI63" s="1" t="str">
        <f>IF(ISERROR(SMALL('Teilnehmende - Starters'!$F$81:$F$156,ROW(#REF!))),"",SMALL('Teilnehmende - Starters'!$F$81:$F$156,ROW(#REF!)))</f>
        <v/>
      </c>
      <c r="AJ63" s="1" t="str">
        <f>IF(AI63="","",VLOOKUP(AI63,'Teilnehmende - Starters'!$C:$Z,5,0)&amp;" "&amp;VLOOKUP(AI63,'Teilnehmende - Starters'!$C:$Z,6,0))</f>
        <v/>
      </c>
      <c r="AK63" s="1" t="str">
        <f t="shared" si="23"/>
        <v/>
      </c>
      <c r="AL63" s="1" t="str">
        <f>IF(AI63="","",IF(VLOOKUP(AI63,'Teilnehmende - Starters'!$C:$AN,21,0)="Freimeldung",$A$2*100+99,VLOOKUP(AJ63,'Teilnehmende - Starters'!$AB$5:$AD$80,3,FALSE)))</f>
        <v/>
      </c>
      <c r="AM63" s="1" t="str">
        <f>IF(AL63="","",IF(VLOOKUP(AI63,'Teilnehmende - Starters'!$C:$Z,21,0)="Freimeldung","Freimeldung",VLOOKUP(AL63,$A$15:$E$77,4,0)&amp;" "&amp;VLOOKUP(AL63,$A$15:$E$77,5,0)))</f>
        <v/>
      </c>
      <c r="AN63" s="1" t="str">
        <f>IF(AL63="","",IF(VLOOKUP(AI63,'Teilnehmende - Starters'!$C:$Z,21,0)="Freimeldung","",VLOOKUP(AL63,$A$15:$C$77,3,0)))</f>
        <v/>
      </c>
      <c r="AO63" s="1" t="str">
        <f>IF($AI63="","",IF(VLOOKUP($AI63,'Teilnehmende - Starters'!$C:$Z,AO$11,0)="","",VLOOKUP($AI63,'Teilnehmende - Starters'!$C:$Z,AO$11,0)))</f>
        <v/>
      </c>
      <c r="AP63" s="1" t="str">
        <f>IF($AI63="","",IF(VLOOKUP($AI63,'Teilnehmende - Starters'!$C:$Z,AP$11,0)="","",VLOOKUP($AI63,'Teilnehmende - Starters'!$C:$Z,AP$11,0)))</f>
        <v/>
      </c>
      <c r="AQ63" s="1" t="str">
        <f t="shared" si="17"/>
        <v/>
      </c>
      <c r="AR63" s="1" t="str">
        <f t="shared" si="24"/>
        <v/>
      </c>
    </row>
    <row r="64" spans="1:44" x14ac:dyDescent="0.3">
      <c r="A64" s="1" t="str">
        <f>IF(ISERROR(SMALL('Teilnehmende - Starters'!$C$81:$C$156,ROW(A50))),"",SMALL('Teilnehmende - Starters'!$C$81:$C$156,ROW(A50)))</f>
        <v/>
      </c>
      <c r="B64" s="1" t="str">
        <f>IF($A64="","",IF(VLOOKUP($A64,'Teilnehmende - Starters'!$C:$Z,B$11,0)="","",SUBSTITUTE(VLOOKUP($A64,'Teilnehmende - Starters'!$C:$Z,B$11,0)," ","")))</f>
        <v/>
      </c>
      <c r="C64" s="1" t="str">
        <f>IF(A64="","",VLOOKUP(INT(A64/100),'Vereine - Clubs'!$C:$H,4,0))</f>
        <v/>
      </c>
      <c r="D64" s="1" t="str">
        <f>IF($A64="","",IF(VLOOKUP($A64,'Teilnehmende - Starters'!$C:$Z,D$11,0)="","",
IF(RIGHT(VLOOKUP($A64,'Teilnehmende - Starters'!$C:$Z,D$11,0),1)=" ",LEFT(VLOOKUP($A64,'Teilnehmende - Starters'!$C:$Z,D$11,0),LEN(VLOOKUP($A64,'Teilnehmende - Starters'!$C:$Z,D$11,0))-1),
VLOOKUP($A64,'Teilnehmende - Starters'!$C:$Z,D$11,0))))</f>
        <v/>
      </c>
      <c r="E64" s="1" t="str">
        <f>IF($A64="","",IF(VLOOKUP($A64,'Teilnehmende - Starters'!$C:$Z,E$11,0)="","",
IF(RIGHT(VLOOKUP($A64,'Teilnehmende - Starters'!$C:$Z,E$11,0),1)=" ",LEFT(VLOOKUP($A64,'Teilnehmende - Starters'!$C:$Z,E$11,0),LEN(VLOOKUP($A64,'Teilnehmende - Starters'!$C:$Z,E$11,0))-1),
VLOOKUP($A64,'Teilnehmende - Starters'!$C:$Z,E$11,0))))</f>
        <v/>
      </c>
      <c r="F64" s="72" t="str">
        <f>IF($A64="","",IF(VLOOKUP($A64,'Teilnehmende - Starters'!$C:$Z,F$11,0)="","",VLOOKUP($A64,'Teilnehmende - Starters'!$C:$Z,F$11,0)))</f>
        <v/>
      </c>
      <c r="G64" s="1" t="str">
        <f>IF($A64="","",IF(VLOOKUP($A64,'Teilnehmende - Starters'!$C:$Z,G$11,0)="","",VLOOKUP($A64,'Teilnehmende - Starters'!$C:$Z,G$11,0)))</f>
        <v/>
      </c>
      <c r="H64" s="1" t="str">
        <f>IF($A64="","",IF(VLOOKUP($A64,'Teilnehmende - Starters'!$C:$Z,H$11,0)="","",VLOOKUP($A64,'Teilnehmende - Starters'!$C:$Z,H$11,0)))</f>
        <v/>
      </c>
      <c r="I64" s="1" t="str">
        <f>IF($A64="","",IF(VLOOKUP($A64,'Teilnehmende - Starters'!$C:$Z,I$11,0)="","",VLOOKUP($A64,'Teilnehmende - Starters'!$C:$Z,I$11,0)))</f>
        <v/>
      </c>
      <c r="J64" s="1" t="str">
        <f>IF($A64="","",IF(VLOOKUP($A64,'Teilnehmende - Starters'!$C:$Z,J$11,0)="","",VLOOKUP($A64,'Teilnehmende - Starters'!$C:$Z,J$11,0)))</f>
        <v/>
      </c>
      <c r="K64" s="1" t="str">
        <f>IF($A64="","",IF(VLOOKUP($A64,'Teilnehmende - Starters'!$C:$Z,K$11,0)="","",VLOOKUP($A64,'Teilnehmende - Starters'!$C:$Z,K$11,0)))</f>
        <v/>
      </c>
      <c r="L64" s="1" t="str">
        <f>IF($A64="","",IF(VLOOKUP($A64,'Teilnehmende - Starters'!$C:$Z,L$11,0)="","",VLOOKUP($A64,'Teilnehmende - Starters'!$C:$Z,L$11,0)))</f>
        <v/>
      </c>
      <c r="M64" s="1" t="str">
        <f>IF($A64="","",IF(VLOOKUP($A64,'Teilnehmende - Starters'!$C:$Z,M$11,0)="","",VLOOKUP($A64,'Teilnehmende - Starters'!$C:$Z,M$11,0)))</f>
        <v/>
      </c>
      <c r="N64" s="17"/>
      <c r="O64" s="1" t="str">
        <f>IF(ISERROR(SMALL('Teilnehmende - Starters'!$D$81:$D$156,ROW(A50))),"",SMALL('Teilnehmende - Starters'!$D$81:$D$156,ROW(A50)))</f>
        <v/>
      </c>
      <c r="P64" s="1" t="str">
        <f>IF($O64="","",IF(VLOOKUP($O64,'Teilnehmende - Starters'!$D:$Z,P$11,0)="","",
IF(RIGHT(VLOOKUP($O64,'Teilnehmende - Starters'!$D:$Z,P$11,0),1)=" ",LEFT(VLOOKUP($O64,'Teilnehmende - Starters'!$D:$Z,P$11,0),LEN(VLOOKUP($O64,'Teilnehmende - Starters'!$D:$Z,P$11,0))-1),
VLOOKUP($O64,'Teilnehmende - Starters'!$D:$Z,P$11,0))))</f>
        <v/>
      </c>
      <c r="Q64" s="1" t="str">
        <f>IF($O64="","",IF(VLOOKUP($O64,'Teilnehmende - Starters'!$D:$Z,Q$11,0)="","",
IF(RIGHT(VLOOKUP($O64,'Teilnehmende - Starters'!$D:$Z,Q$11,0),1)=" ",LEFT(VLOOKUP($O64,'Teilnehmende - Starters'!$D:$Z,Q$11,0),LEN(VLOOKUP($O64,'Teilnehmende - Starters'!$D:$Z,Q$11,0))-1),
VLOOKUP($O64,'Teilnehmende - Starters'!$D:$Z,Q$11,0))))</f>
        <v/>
      </c>
      <c r="R64" s="1" t="str">
        <f t="shared" si="19"/>
        <v/>
      </c>
      <c r="S64" s="1" t="str">
        <f>IF($O64="","",IF(VLOOKUP($O64,'Teilnehmende - Starters'!$D:$Z,S$11,0)="","",VLOOKUP($O64,'Teilnehmende - Starters'!$D:$Z,S$11,0)))</f>
        <v/>
      </c>
      <c r="T64" s="1" t="str">
        <f>IF($O64="","",IF(VLOOKUP($O64,'Teilnehmende - Starters'!$D:$Z,T$11,0)="","",VLOOKUP($O64,'Teilnehmende - Starters'!$D:$Z,T$11,0)))</f>
        <v/>
      </c>
      <c r="U64" s="1" t="str">
        <f>IF($O64="","",IF(VLOOKUP(O64,'Teilnehmende - Starters'!$C:$I,7,0)="w",IF(OR(S64=20,S64=19),"DE","ME"),IF(OR(S64=20,S64=19),"HE","JE")))</f>
        <v/>
      </c>
      <c r="V64" s="1" t="str">
        <f t="shared" si="20"/>
        <v/>
      </c>
      <c r="W64" s="17"/>
      <c r="X64" s="1" t="str">
        <f>IF(ISERROR(SMALL('Teilnehmende - Starters'!$E$81:$E$156,ROW(A50))),"",SMALL('Teilnehmende - Starters'!$E$81:$E$156,ROW(A50)))</f>
        <v/>
      </c>
      <c r="Y64" s="1" t="str">
        <f>IF(X64="","",VLOOKUP(X64,'Teilnehmende - Starters'!$C:$Z,5,0)&amp;" "&amp;VLOOKUP(X64,'Teilnehmende - Starters'!$C:$Z,6,0))</f>
        <v/>
      </c>
      <c r="Z64" s="1" t="str">
        <f t="shared" si="21"/>
        <v/>
      </c>
      <c r="AA64" s="1" t="str">
        <f>IF(X64="","",IF(VLOOKUP(X64,'Teilnehmende - Starters'!$C:$Z,18,0)="Freimeldung",$A$2*100+99,VLOOKUP(Y64,'Teilnehmende - Starters'!$AA$5:$AD$80,4,FALSE)))</f>
        <v/>
      </c>
      <c r="AB64" s="1" t="str">
        <f>IF(AA64="","",IF(VLOOKUP(X64,'Teilnehmende - Starters'!$C:$Z,18,0)="Freimeldung","Freimeldung",VLOOKUP(AA64,$A$15:$E$77,4,0)&amp;" "&amp;VLOOKUP(AA64,$A$15:$E$77,5,0)))</f>
        <v/>
      </c>
      <c r="AC64" s="1" t="str">
        <f>IF(AA64="","",IF(VLOOKUP(X64,'Teilnehmende - Starters'!$C:$Z,18,0)="Freimeldung","",VLOOKUP(AA64,$A$15:$C$77,3,0)))</f>
        <v/>
      </c>
      <c r="AD64" s="1" t="str">
        <f>IF($X64="","",IF(VLOOKUP($X64,'Teilnehmende - Starters'!$C:$Z,AD$11,0)="","",VLOOKUP($X64,'Teilnehmende - Starters'!$C:$Z,AD$11,0)))</f>
        <v/>
      </c>
      <c r="AE64" s="1" t="str">
        <f>IF($X64="","",IF(VLOOKUP($X64,'Teilnehmende - Starters'!$C:$Z,AE$11,0)="","",VLOOKUP($X64,'Teilnehmende - Starters'!$C:$Z,AE$11,0)))</f>
        <v/>
      </c>
      <c r="AF64" s="1" t="str">
        <f>IF($X64="","",IF(VLOOKUP(X64,'Teilnehmende - Starters'!$C:$I,7,0)="w",IF(OR(AD64=20,AD64=19),"DD","MD"),IF(OR(AD64=20,AD64=19),"HD","JD")))</f>
        <v/>
      </c>
      <c r="AG64" s="1" t="str">
        <f t="shared" si="22"/>
        <v/>
      </c>
      <c r="AH64" s="17"/>
      <c r="AI64" s="1" t="str">
        <f>IF(ISERROR(SMALL('Teilnehmende - Starters'!$F$81:$F$156,ROW(#REF!))),"",SMALL('Teilnehmende - Starters'!$F$81:$F$156,ROW(#REF!)))</f>
        <v/>
      </c>
      <c r="AJ64" s="1" t="str">
        <f>IF(AI64="","",VLOOKUP(AI64,'Teilnehmende - Starters'!$C:$Z,5,0)&amp;" "&amp;VLOOKUP(AI64,'Teilnehmende - Starters'!$C:$Z,6,0))</f>
        <v/>
      </c>
      <c r="AK64" s="1" t="str">
        <f t="shared" si="23"/>
        <v/>
      </c>
      <c r="AL64" s="1" t="str">
        <f>IF(AI64="","",IF(VLOOKUP(AI64,'Teilnehmende - Starters'!$C:$AN,21,0)="Freimeldung",$A$2*100+99,VLOOKUP(AJ64,'Teilnehmende - Starters'!$AB$5:$AD$80,3,FALSE)))</f>
        <v/>
      </c>
      <c r="AM64" s="1" t="str">
        <f>IF(AL64="","",IF(VLOOKUP(AI64,'Teilnehmende - Starters'!$C:$Z,21,0)="Freimeldung","Freimeldung",VLOOKUP(AL64,$A$15:$E$77,4,0)&amp;" "&amp;VLOOKUP(AL64,$A$15:$E$77,5,0)))</f>
        <v/>
      </c>
      <c r="AN64" s="1" t="str">
        <f>IF(AL64="","",IF(VLOOKUP(AI64,'Teilnehmende - Starters'!$C:$Z,21,0)="Freimeldung","",VLOOKUP(AL64,$A$15:$C$77,3,0)))</f>
        <v/>
      </c>
      <c r="AO64" s="1" t="str">
        <f>IF($AI64="","",IF(VLOOKUP($AI64,'Teilnehmende - Starters'!$C:$Z,AO$11,0)="","",VLOOKUP($AI64,'Teilnehmende - Starters'!$C:$Z,AO$11,0)))</f>
        <v/>
      </c>
      <c r="AP64" s="1" t="str">
        <f>IF($AI64="","",IF(VLOOKUP($AI64,'Teilnehmende - Starters'!$C:$Z,AP$11,0)="","",VLOOKUP($AI64,'Teilnehmende - Starters'!$C:$Z,AP$11,0)))</f>
        <v/>
      </c>
      <c r="AQ64" s="1" t="str">
        <f t="shared" si="17"/>
        <v/>
      </c>
      <c r="AR64" s="1" t="str">
        <f t="shared" si="24"/>
        <v/>
      </c>
    </row>
    <row r="65" spans="1:44" x14ac:dyDescent="0.3">
      <c r="A65" s="1" t="str">
        <f>IF(ISERROR(SMALL('Teilnehmende - Starters'!$C$81:$C$156,ROW(A51))),"",SMALL('Teilnehmende - Starters'!$C$81:$C$156,ROW(A51)))</f>
        <v/>
      </c>
      <c r="B65" s="1" t="str">
        <f>IF($A65="","",IF(VLOOKUP($A65,'Teilnehmende - Starters'!$C:$Z,B$11,0)="","",SUBSTITUTE(VLOOKUP($A65,'Teilnehmende - Starters'!$C:$Z,B$11,0)," ","")))</f>
        <v/>
      </c>
      <c r="C65" s="1" t="str">
        <f>IF(A65="","",VLOOKUP(INT(A65/100),'Vereine - Clubs'!$C:$H,4,0))</f>
        <v/>
      </c>
      <c r="D65" s="1" t="str">
        <f>IF($A65="","",IF(VLOOKUP($A65,'Teilnehmende - Starters'!$C:$Z,D$11,0)="","",
IF(RIGHT(VLOOKUP($A65,'Teilnehmende - Starters'!$C:$Z,D$11,0),1)=" ",LEFT(VLOOKUP($A65,'Teilnehmende - Starters'!$C:$Z,D$11,0),LEN(VLOOKUP($A65,'Teilnehmende - Starters'!$C:$Z,D$11,0))-1),
VLOOKUP($A65,'Teilnehmende - Starters'!$C:$Z,D$11,0))))</f>
        <v/>
      </c>
      <c r="E65" s="1" t="str">
        <f>IF($A65="","",IF(VLOOKUP($A65,'Teilnehmende - Starters'!$C:$Z,E$11,0)="","",
IF(RIGHT(VLOOKUP($A65,'Teilnehmende - Starters'!$C:$Z,E$11,0),1)=" ",LEFT(VLOOKUP($A65,'Teilnehmende - Starters'!$C:$Z,E$11,0),LEN(VLOOKUP($A65,'Teilnehmende - Starters'!$C:$Z,E$11,0))-1),
VLOOKUP($A65,'Teilnehmende - Starters'!$C:$Z,E$11,0))))</f>
        <v/>
      </c>
      <c r="F65" s="72" t="str">
        <f>IF($A65="","",IF(VLOOKUP($A65,'Teilnehmende - Starters'!$C:$Z,F$11,0)="","",VLOOKUP($A65,'Teilnehmende - Starters'!$C:$Z,F$11,0)))</f>
        <v/>
      </c>
      <c r="G65" s="1" t="str">
        <f>IF($A65="","",IF(VLOOKUP($A65,'Teilnehmende - Starters'!$C:$Z,G$11,0)="","",VLOOKUP($A65,'Teilnehmende - Starters'!$C:$Z,G$11,0)))</f>
        <v/>
      </c>
      <c r="H65" s="1" t="str">
        <f>IF($A65="","",IF(VLOOKUP($A65,'Teilnehmende - Starters'!$C:$Z,H$11,0)="","",VLOOKUP($A65,'Teilnehmende - Starters'!$C:$Z,H$11,0)))</f>
        <v/>
      </c>
      <c r="I65" s="1" t="str">
        <f>IF($A65="","",IF(VLOOKUP($A65,'Teilnehmende - Starters'!$C:$Z,I$11,0)="","",VLOOKUP($A65,'Teilnehmende - Starters'!$C:$Z,I$11,0)))</f>
        <v/>
      </c>
      <c r="J65" s="1" t="str">
        <f>IF($A65="","",IF(VLOOKUP($A65,'Teilnehmende - Starters'!$C:$Z,J$11,0)="","",VLOOKUP($A65,'Teilnehmende - Starters'!$C:$Z,J$11,0)))</f>
        <v/>
      </c>
      <c r="K65" s="1" t="str">
        <f>IF($A65="","",IF(VLOOKUP($A65,'Teilnehmende - Starters'!$C:$Z,K$11,0)="","",VLOOKUP($A65,'Teilnehmende - Starters'!$C:$Z,K$11,0)))</f>
        <v/>
      </c>
      <c r="L65" s="1" t="str">
        <f>IF($A65="","",IF(VLOOKUP($A65,'Teilnehmende - Starters'!$C:$Z,L$11,0)="","",VLOOKUP($A65,'Teilnehmende - Starters'!$C:$Z,L$11,0)))</f>
        <v/>
      </c>
      <c r="M65" s="1" t="str">
        <f>IF($A65="","",IF(VLOOKUP($A65,'Teilnehmende - Starters'!$C:$Z,M$11,0)="","",VLOOKUP($A65,'Teilnehmende - Starters'!$C:$Z,M$11,0)))</f>
        <v/>
      </c>
      <c r="N65" s="17"/>
      <c r="O65" s="1" t="str">
        <f>IF(ISERROR(SMALL('Teilnehmende - Starters'!$D$81:$D$156,ROW(A51))),"",SMALL('Teilnehmende - Starters'!$D$81:$D$156,ROW(A51)))</f>
        <v/>
      </c>
      <c r="P65" s="1" t="str">
        <f>IF($O65="","",IF(VLOOKUP($O65,'Teilnehmende - Starters'!$D:$Z,P$11,0)="","",
IF(RIGHT(VLOOKUP($O65,'Teilnehmende - Starters'!$D:$Z,P$11,0),1)=" ",LEFT(VLOOKUP($O65,'Teilnehmende - Starters'!$D:$Z,P$11,0),LEN(VLOOKUP($O65,'Teilnehmende - Starters'!$D:$Z,P$11,0))-1),
VLOOKUP($O65,'Teilnehmende - Starters'!$D:$Z,P$11,0))))</f>
        <v/>
      </c>
      <c r="Q65" s="1" t="str">
        <f>IF($O65="","",IF(VLOOKUP($O65,'Teilnehmende - Starters'!$D:$Z,Q$11,0)="","",
IF(RIGHT(VLOOKUP($O65,'Teilnehmende - Starters'!$D:$Z,Q$11,0),1)=" ",LEFT(VLOOKUP($O65,'Teilnehmende - Starters'!$D:$Z,Q$11,0),LEN(VLOOKUP($O65,'Teilnehmende - Starters'!$D:$Z,Q$11,0))-1),
VLOOKUP($O65,'Teilnehmende - Starters'!$D:$Z,Q$11,0))))</f>
        <v/>
      </c>
      <c r="R65" s="1" t="str">
        <f t="shared" si="19"/>
        <v/>
      </c>
      <c r="S65" s="1" t="str">
        <f>IF($O65="","",IF(VLOOKUP($O65,'Teilnehmende - Starters'!$D:$Z,S$11,0)="","",VLOOKUP($O65,'Teilnehmende - Starters'!$D:$Z,S$11,0)))</f>
        <v/>
      </c>
      <c r="T65" s="1" t="str">
        <f>IF($O65="","",IF(VLOOKUP($O65,'Teilnehmende - Starters'!$D:$Z,T$11,0)="","",VLOOKUP($O65,'Teilnehmende - Starters'!$D:$Z,T$11,0)))</f>
        <v/>
      </c>
      <c r="U65" s="1" t="str">
        <f>IF($O65="","",IF(VLOOKUP(O65,'Teilnehmende - Starters'!$C:$I,7,0)="w",IF(OR(S65=20,S65=19),"DE","ME"),IF(OR(S65=20,S65=19),"HE","JE")))</f>
        <v/>
      </c>
      <c r="V65" s="1" t="str">
        <f t="shared" si="20"/>
        <v/>
      </c>
      <c r="W65" s="17"/>
      <c r="X65" s="1" t="str">
        <f>IF(ISERROR(SMALL('Teilnehmende - Starters'!$E$81:$E$156,ROW(A51))),"",SMALL('Teilnehmende - Starters'!$E$81:$E$156,ROW(A51)))</f>
        <v/>
      </c>
      <c r="Y65" s="1" t="str">
        <f>IF(X65="","",VLOOKUP(X65,'Teilnehmende - Starters'!$C:$Z,5,0)&amp;" "&amp;VLOOKUP(X65,'Teilnehmende - Starters'!$C:$Z,6,0))</f>
        <v/>
      </c>
      <c r="Z65" s="1" t="str">
        <f t="shared" si="21"/>
        <v/>
      </c>
      <c r="AA65" s="1" t="str">
        <f>IF(X65="","",IF(VLOOKUP(X65,'Teilnehmende - Starters'!$C:$Z,18,0)="Freimeldung",$A$2*100+99,VLOOKUP(Y65,'Teilnehmende - Starters'!$AA$5:$AD$80,4,FALSE)))</f>
        <v/>
      </c>
      <c r="AB65" s="1" t="str">
        <f>IF(AA65="","",IF(VLOOKUP(X65,'Teilnehmende - Starters'!$C:$Z,18,0)="Freimeldung","Freimeldung",VLOOKUP(AA65,$A$15:$E$77,4,0)&amp;" "&amp;VLOOKUP(AA65,$A$15:$E$77,5,0)))</f>
        <v/>
      </c>
      <c r="AC65" s="1" t="str">
        <f>IF(AA65="","",IF(VLOOKUP(X65,'Teilnehmende - Starters'!$C:$Z,18,0)="Freimeldung","",VLOOKUP(AA65,$A$15:$C$77,3,0)))</f>
        <v/>
      </c>
      <c r="AD65" s="1" t="str">
        <f>IF($X65="","",IF(VLOOKUP($X65,'Teilnehmende - Starters'!$C:$Z,AD$11,0)="","",VLOOKUP($X65,'Teilnehmende - Starters'!$C:$Z,AD$11,0)))</f>
        <v/>
      </c>
      <c r="AE65" s="1" t="str">
        <f>IF($X65="","",IF(VLOOKUP($X65,'Teilnehmende - Starters'!$C:$Z,AE$11,0)="","",VLOOKUP($X65,'Teilnehmende - Starters'!$C:$Z,AE$11,0)))</f>
        <v/>
      </c>
      <c r="AF65" s="1" t="str">
        <f>IF($X65="","",IF(VLOOKUP(X65,'Teilnehmende - Starters'!$C:$I,7,0)="w",IF(OR(AD65=20,AD65=19),"DD","MD"),IF(OR(AD65=20,AD65=19),"HD","JD")))</f>
        <v/>
      </c>
      <c r="AG65" s="1" t="str">
        <f t="shared" si="22"/>
        <v/>
      </c>
      <c r="AH65" s="17"/>
      <c r="AI65" s="1" t="str">
        <f>IF(ISERROR(SMALL('Teilnehmende - Starters'!$F$81:$F$156,ROW(#REF!))),"",SMALL('Teilnehmende - Starters'!$F$81:$F$156,ROW(#REF!)))</f>
        <v/>
      </c>
      <c r="AJ65" s="1" t="str">
        <f>IF(AI65="","",VLOOKUP(AI65,'Teilnehmende - Starters'!$C:$Z,5,0)&amp;" "&amp;VLOOKUP(AI65,'Teilnehmende - Starters'!$C:$Z,6,0))</f>
        <v/>
      </c>
      <c r="AK65" s="1" t="str">
        <f t="shared" si="23"/>
        <v/>
      </c>
      <c r="AL65" s="1" t="str">
        <f>IF(AI65="","",IF(VLOOKUP(AI65,'Teilnehmende - Starters'!$C:$AN,21,0)="Freimeldung",$A$2*100+99,VLOOKUP(AJ65,'Teilnehmende - Starters'!$AB$5:$AD$80,3,FALSE)))</f>
        <v/>
      </c>
      <c r="AM65" s="1" t="str">
        <f>IF(AL65="","",IF(VLOOKUP(AI65,'Teilnehmende - Starters'!$C:$Z,21,0)="Freimeldung","Freimeldung",VLOOKUP(AL65,$A$15:$E$77,4,0)&amp;" "&amp;VLOOKUP(AL65,$A$15:$E$77,5,0)))</f>
        <v/>
      </c>
      <c r="AN65" s="1" t="str">
        <f>IF(AL65="","",IF(VLOOKUP(AI65,'Teilnehmende - Starters'!$C:$Z,21,0)="Freimeldung","",VLOOKUP(AL65,$A$15:$C$77,3,0)))</f>
        <v/>
      </c>
      <c r="AO65" s="1" t="str">
        <f>IF($AI65="","",IF(VLOOKUP($AI65,'Teilnehmende - Starters'!$C:$Z,AO$11,0)="","",VLOOKUP($AI65,'Teilnehmende - Starters'!$C:$Z,AO$11,0)))</f>
        <v/>
      </c>
      <c r="AP65" s="1" t="str">
        <f>IF($AI65="","",IF(VLOOKUP($AI65,'Teilnehmende - Starters'!$C:$Z,AP$11,0)="","",VLOOKUP($AI65,'Teilnehmende - Starters'!$C:$Z,AP$11,0)))</f>
        <v/>
      </c>
      <c r="AQ65" s="1" t="str">
        <f t="shared" si="17"/>
        <v/>
      </c>
      <c r="AR65" s="1" t="str">
        <f t="shared" si="24"/>
        <v/>
      </c>
    </row>
    <row r="66" spans="1:44" x14ac:dyDescent="0.3">
      <c r="A66" s="1" t="str">
        <f>IF(ISERROR(SMALL('Teilnehmende - Starters'!$C$81:$C$156,ROW(A52))),"",SMALL('Teilnehmende - Starters'!$C$81:$C$156,ROW(A52)))</f>
        <v/>
      </c>
      <c r="B66" s="1" t="str">
        <f>IF($A66="","",IF(VLOOKUP($A66,'Teilnehmende - Starters'!$C:$Z,B$11,0)="","",SUBSTITUTE(VLOOKUP($A66,'Teilnehmende - Starters'!$C:$Z,B$11,0)," ","")))</f>
        <v/>
      </c>
      <c r="C66" s="1" t="str">
        <f>IF(A66="","",VLOOKUP(INT(A66/100),'Vereine - Clubs'!$C:$H,4,0))</f>
        <v/>
      </c>
      <c r="D66" s="1" t="str">
        <f>IF($A66="","",IF(VLOOKUP($A66,'Teilnehmende - Starters'!$C:$Z,D$11,0)="","",
IF(RIGHT(VLOOKUP($A66,'Teilnehmende - Starters'!$C:$Z,D$11,0),1)=" ",LEFT(VLOOKUP($A66,'Teilnehmende - Starters'!$C:$Z,D$11,0),LEN(VLOOKUP($A66,'Teilnehmende - Starters'!$C:$Z,D$11,0))-1),
VLOOKUP($A66,'Teilnehmende - Starters'!$C:$Z,D$11,0))))</f>
        <v/>
      </c>
      <c r="E66" s="1" t="str">
        <f>IF($A66="","",IF(VLOOKUP($A66,'Teilnehmende - Starters'!$C:$Z,E$11,0)="","",
IF(RIGHT(VLOOKUP($A66,'Teilnehmende - Starters'!$C:$Z,E$11,0),1)=" ",LEFT(VLOOKUP($A66,'Teilnehmende - Starters'!$C:$Z,E$11,0),LEN(VLOOKUP($A66,'Teilnehmende - Starters'!$C:$Z,E$11,0))-1),
VLOOKUP($A66,'Teilnehmende - Starters'!$C:$Z,E$11,0))))</f>
        <v/>
      </c>
      <c r="F66" s="72" t="str">
        <f>IF($A66="","",IF(VLOOKUP($A66,'Teilnehmende - Starters'!$C:$Z,F$11,0)="","",VLOOKUP($A66,'Teilnehmende - Starters'!$C:$Z,F$11,0)))</f>
        <v/>
      </c>
      <c r="G66" s="1" t="str">
        <f>IF($A66="","",IF(VLOOKUP($A66,'Teilnehmende - Starters'!$C:$Z,G$11,0)="","",VLOOKUP($A66,'Teilnehmende - Starters'!$C:$Z,G$11,0)))</f>
        <v/>
      </c>
      <c r="H66" s="1" t="str">
        <f>IF($A66="","",IF(VLOOKUP($A66,'Teilnehmende - Starters'!$C:$Z,H$11,0)="","",VLOOKUP($A66,'Teilnehmende - Starters'!$C:$Z,H$11,0)))</f>
        <v/>
      </c>
      <c r="I66" s="1" t="str">
        <f>IF($A66="","",IF(VLOOKUP($A66,'Teilnehmende - Starters'!$C:$Z,I$11,0)="","",VLOOKUP($A66,'Teilnehmende - Starters'!$C:$Z,I$11,0)))</f>
        <v/>
      </c>
      <c r="J66" s="1" t="str">
        <f>IF($A66="","",IF(VLOOKUP($A66,'Teilnehmende - Starters'!$C:$Z,J$11,0)="","",VLOOKUP($A66,'Teilnehmende - Starters'!$C:$Z,J$11,0)))</f>
        <v/>
      </c>
      <c r="K66" s="1" t="str">
        <f>IF($A66="","",IF(VLOOKUP($A66,'Teilnehmende - Starters'!$C:$Z,K$11,0)="","",VLOOKUP($A66,'Teilnehmende - Starters'!$C:$Z,K$11,0)))</f>
        <v/>
      </c>
      <c r="L66" s="1" t="str">
        <f>IF($A66="","",IF(VLOOKUP($A66,'Teilnehmende - Starters'!$C:$Z,L$11,0)="","",VLOOKUP($A66,'Teilnehmende - Starters'!$C:$Z,L$11,0)))</f>
        <v/>
      </c>
      <c r="M66" s="1" t="str">
        <f>IF($A66="","",IF(VLOOKUP($A66,'Teilnehmende - Starters'!$C:$Z,M$11,0)="","",VLOOKUP($A66,'Teilnehmende - Starters'!$C:$Z,M$11,0)))</f>
        <v/>
      </c>
      <c r="N66" s="17"/>
      <c r="O66" s="1" t="str">
        <f>IF(ISERROR(SMALL('Teilnehmende - Starters'!$D$81:$D$156,ROW(A52))),"",SMALL('Teilnehmende - Starters'!$D$81:$D$156,ROW(A52)))</f>
        <v/>
      </c>
      <c r="P66" s="1" t="str">
        <f>IF($O66="","",IF(VLOOKUP($O66,'Teilnehmende - Starters'!$D:$Z,P$11,0)="","",
IF(RIGHT(VLOOKUP($O66,'Teilnehmende - Starters'!$D:$Z,P$11,0),1)=" ",LEFT(VLOOKUP($O66,'Teilnehmende - Starters'!$D:$Z,P$11,0),LEN(VLOOKUP($O66,'Teilnehmende - Starters'!$D:$Z,P$11,0))-1),
VLOOKUP($O66,'Teilnehmende - Starters'!$D:$Z,P$11,0))))</f>
        <v/>
      </c>
      <c r="Q66" s="1" t="str">
        <f>IF($O66="","",IF(VLOOKUP($O66,'Teilnehmende - Starters'!$D:$Z,Q$11,0)="","",
IF(RIGHT(VLOOKUP($O66,'Teilnehmende - Starters'!$D:$Z,Q$11,0),1)=" ",LEFT(VLOOKUP($O66,'Teilnehmende - Starters'!$D:$Z,Q$11,0),LEN(VLOOKUP($O66,'Teilnehmende - Starters'!$D:$Z,Q$11,0))-1),
VLOOKUP($O66,'Teilnehmende - Starters'!$D:$Z,Q$11,0))))</f>
        <v/>
      </c>
      <c r="R66" s="1" t="str">
        <f t="shared" si="19"/>
        <v/>
      </c>
      <c r="S66" s="1" t="str">
        <f>IF($O66="","",IF(VLOOKUP($O66,'Teilnehmende - Starters'!$D:$Z,S$11,0)="","",VLOOKUP($O66,'Teilnehmende - Starters'!$D:$Z,S$11,0)))</f>
        <v/>
      </c>
      <c r="T66" s="1" t="str">
        <f>IF($O66="","",IF(VLOOKUP($O66,'Teilnehmende - Starters'!$D:$Z,T$11,0)="","",VLOOKUP($O66,'Teilnehmende - Starters'!$D:$Z,T$11,0)))</f>
        <v/>
      </c>
      <c r="U66" s="1" t="str">
        <f>IF($O66="","",IF(VLOOKUP(O66,'Teilnehmende - Starters'!$C:$I,7,0)="w",IF(OR(S66=20,S66=19),"DE","ME"),IF(OR(S66=20,S66=19),"HE","JE")))</f>
        <v/>
      </c>
      <c r="V66" s="1" t="str">
        <f t="shared" si="20"/>
        <v/>
      </c>
      <c r="W66" s="17"/>
      <c r="X66" s="1" t="str">
        <f>IF(ISERROR(SMALL('Teilnehmende - Starters'!$E$81:$E$156,ROW(A52))),"",SMALL('Teilnehmende - Starters'!$E$81:$E$156,ROW(A52)))</f>
        <v/>
      </c>
      <c r="Y66" s="1" t="str">
        <f>IF(X66="","",VLOOKUP(X66,'Teilnehmende - Starters'!$C:$Z,5,0)&amp;" "&amp;VLOOKUP(X66,'Teilnehmende - Starters'!$C:$Z,6,0))</f>
        <v/>
      </c>
      <c r="Z66" s="1" t="str">
        <f t="shared" si="21"/>
        <v/>
      </c>
      <c r="AA66" s="1" t="str">
        <f>IF(X66="","",IF(VLOOKUP(X66,'Teilnehmende - Starters'!$C:$Z,18,0)="Freimeldung",$A$2*100+99,VLOOKUP(Y66,'Teilnehmende - Starters'!$AA$5:$AD$80,4,FALSE)))</f>
        <v/>
      </c>
      <c r="AB66" s="1" t="str">
        <f>IF(AA66="","",IF(VLOOKUP(X66,'Teilnehmende - Starters'!$C:$Z,18,0)="Freimeldung","Freimeldung",VLOOKUP(AA66,$A$15:$E$77,4,0)&amp;" "&amp;VLOOKUP(AA66,$A$15:$E$77,5,0)))</f>
        <v/>
      </c>
      <c r="AC66" s="1" t="str">
        <f>IF(AA66="","",IF(VLOOKUP(X66,'Teilnehmende - Starters'!$C:$Z,18,0)="Freimeldung","",VLOOKUP(AA66,$A$15:$C$77,3,0)))</f>
        <v/>
      </c>
      <c r="AD66" s="1" t="str">
        <f>IF($X66="","",IF(VLOOKUP($X66,'Teilnehmende - Starters'!$C:$Z,AD$11,0)="","",VLOOKUP($X66,'Teilnehmende - Starters'!$C:$Z,AD$11,0)))</f>
        <v/>
      </c>
      <c r="AE66" s="1" t="str">
        <f>IF($X66="","",IF(VLOOKUP($X66,'Teilnehmende - Starters'!$C:$Z,AE$11,0)="","",VLOOKUP($X66,'Teilnehmende - Starters'!$C:$Z,AE$11,0)))</f>
        <v/>
      </c>
      <c r="AF66" s="1" t="str">
        <f>IF($X66="","",IF(VLOOKUP(X66,'Teilnehmende - Starters'!$C:$I,7,0)="w",IF(OR(AD66=20,AD66=19),"DD","MD"),IF(OR(AD66=20,AD66=19),"HD","JD")))</f>
        <v/>
      </c>
      <c r="AG66" s="1" t="str">
        <f t="shared" si="22"/>
        <v/>
      </c>
      <c r="AH66" s="17"/>
      <c r="AI66" s="1" t="str">
        <f>IF(ISERROR(SMALL('Teilnehmende - Starters'!$F$81:$F$156,ROW(#REF!))),"",SMALL('Teilnehmende - Starters'!$F$81:$F$156,ROW(#REF!)))</f>
        <v/>
      </c>
      <c r="AJ66" s="1" t="str">
        <f>IF(AI66="","",VLOOKUP(AI66,'Teilnehmende - Starters'!$C:$Z,5,0)&amp;" "&amp;VLOOKUP(AI66,'Teilnehmende - Starters'!$C:$Z,6,0))</f>
        <v/>
      </c>
      <c r="AK66" s="1" t="str">
        <f t="shared" si="23"/>
        <v/>
      </c>
      <c r="AL66" s="1" t="str">
        <f>IF(AI66="","",IF(VLOOKUP(AI66,'Teilnehmende - Starters'!$C:$AN,21,0)="Freimeldung",$A$2*100+99,VLOOKUP(AJ66,'Teilnehmende - Starters'!$AB$5:$AD$80,3,FALSE)))</f>
        <v/>
      </c>
      <c r="AM66" s="1" t="str">
        <f>IF(AL66="","",IF(VLOOKUP(AI66,'Teilnehmende - Starters'!$C:$Z,21,0)="Freimeldung","Freimeldung",VLOOKUP(AL66,$A$15:$E$77,4,0)&amp;" "&amp;VLOOKUP(AL66,$A$15:$E$77,5,0)))</f>
        <v/>
      </c>
      <c r="AN66" s="1" t="str">
        <f>IF(AL66="","",IF(VLOOKUP(AI66,'Teilnehmende - Starters'!$C:$Z,21,0)="Freimeldung","",VLOOKUP(AL66,$A$15:$C$77,3,0)))</f>
        <v/>
      </c>
      <c r="AO66" s="1" t="str">
        <f>IF($AI66="","",IF(VLOOKUP($AI66,'Teilnehmende - Starters'!$C:$Z,AO$11,0)="","",VLOOKUP($AI66,'Teilnehmende - Starters'!$C:$Z,AO$11,0)))</f>
        <v/>
      </c>
      <c r="AP66" s="1" t="str">
        <f>IF($AI66="","",IF(VLOOKUP($AI66,'Teilnehmende - Starters'!$C:$Z,AP$11,0)="","",VLOOKUP($AI66,'Teilnehmende - Starters'!$C:$Z,AP$11,0)))</f>
        <v/>
      </c>
      <c r="AQ66" s="1" t="str">
        <f t="shared" si="17"/>
        <v/>
      </c>
      <c r="AR66" s="1" t="str">
        <f t="shared" si="24"/>
        <v/>
      </c>
    </row>
    <row r="67" spans="1:44" x14ac:dyDescent="0.3">
      <c r="A67" s="1" t="str">
        <f>IF(ISERROR(SMALL('Teilnehmende - Starters'!$C$81:$C$156,ROW(A53))),"",SMALL('Teilnehmende - Starters'!$C$81:$C$156,ROW(A53)))</f>
        <v/>
      </c>
      <c r="B67" s="1" t="str">
        <f>IF($A67="","",IF(VLOOKUP($A67,'Teilnehmende - Starters'!$C:$Z,B$11,0)="","",SUBSTITUTE(VLOOKUP($A67,'Teilnehmende - Starters'!$C:$Z,B$11,0)," ","")))</f>
        <v/>
      </c>
      <c r="C67" s="1" t="str">
        <f>IF(A67="","",VLOOKUP(INT(A67/100),'Vereine - Clubs'!$C:$H,4,0))</f>
        <v/>
      </c>
      <c r="D67" s="1" t="str">
        <f>IF($A67="","",IF(VLOOKUP($A67,'Teilnehmende - Starters'!$C:$Z,D$11,0)="","",
IF(RIGHT(VLOOKUP($A67,'Teilnehmende - Starters'!$C:$Z,D$11,0),1)=" ",LEFT(VLOOKUP($A67,'Teilnehmende - Starters'!$C:$Z,D$11,0),LEN(VLOOKUP($A67,'Teilnehmende - Starters'!$C:$Z,D$11,0))-1),
VLOOKUP($A67,'Teilnehmende - Starters'!$C:$Z,D$11,0))))</f>
        <v/>
      </c>
      <c r="E67" s="1" t="str">
        <f>IF($A67="","",IF(VLOOKUP($A67,'Teilnehmende - Starters'!$C:$Z,E$11,0)="","",
IF(RIGHT(VLOOKUP($A67,'Teilnehmende - Starters'!$C:$Z,E$11,0),1)=" ",LEFT(VLOOKUP($A67,'Teilnehmende - Starters'!$C:$Z,E$11,0),LEN(VLOOKUP($A67,'Teilnehmende - Starters'!$C:$Z,E$11,0))-1),
VLOOKUP($A67,'Teilnehmende - Starters'!$C:$Z,E$11,0))))</f>
        <v/>
      </c>
      <c r="F67" s="72" t="str">
        <f>IF($A67="","",IF(VLOOKUP($A67,'Teilnehmende - Starters'!$C:$Z,F$11,0)="","",VLOOKUP($A67,'Teilnehmende - Starters'!$C:$Z,F$11,0)))</f>
        <v/>
      </c>
      <c r="G67" s="1" t="str">
        <f>IF($A67="","",IF(VLOOKUP($A67,'Teilnehmende - Starters'!$C:$Z,G$11,0)="","",VLOOKUP($A67,'Teilnehmende - Starters'!$C:$Z,G$11,0)))</f>
        <v/>
      </c>
      <c r="H67" s="1" t="str">
        <f>IF($A67="","",IF(VLOOKUP($A67,'Teilnehmende - Starters'!$C:$Z,H$11,0)="","",VLOOKUP($A67,'Teilnehmende - Starters'!$C:$Z,H$11,0)))</f>
        <v/>
      </c>
      <c r="I67" s="1" t="str">
        <f>IF($A67="","",IF(VLOOKUP($A67,'Teilnehmende - Starters'!$C:$Z,I$11,0)="","",VLOOKUP($A67,'Teilnehmende - Starters'!$C:$Z,I$11,0)))</f>
        <v/>
      </c>
      <c r="J67" s="1" t="str">
        <f>IF($A67="","",IF(VLOOKUP($A67,'Teilnehmende - Starters'!$C:$Z,J$11,0)="","",VLOOKUP($A67,'Teilnehmende - Starters'!$C:$Z,J$11,0)))</f>
        <v/>
      </c>
      <c r="K67" s="1" t="str">
        <f>IF($A67="","",IF(VLOOKUP($A67,'Teilnehmende - Starters'!$C:$Z,K$11,0)="","",VLOOKUP($A67,'Teilnehmende - Starters'!$C:$Z,K$11,0)))</f>
        <v/>
      </c>
      <c r="L67" s="1" t="str">
        <f>IF($A67="","",IF(VLOOKUP($A67,'Teilnehmende - Starters'!$C:$Z,L$11,0)="","",VLOOKUP($A67,'Teilnehmende - Starters'!$C:$Z,L$11,0)))</f>
        <v/>
      </c>
      <c r="M67" s="1" t="str">
        <f>IF($A67="","",IF(VLOOKUP($A67,'Teilnehmende - Starters'!$C:$Z,M$11,0)="","",VLOOKUP($A67,'Teilnehmende - Starters'!$C:$Z,M$11,0)))</f>
        <v/>
      </c>
      <c r="N67" s="17"/>
      <c r="O67" s="1" t="str">
        <f>IF(ISERROR(SMALL('Teilnehmende - Starters'!$D$81:$D$156,ROW(A53))),"",SMALL('Teilnehmende - Starters'!$D$81:$D$156,ROW(A53)))</f>
        <v/>
      </c>
      <c r="P67" s="1" t="str">
        <f>IF($O67="","",IF(VLOOKUP($O67,'Teilnehmende - Starters'!$D:$Z,P$11,0)="","",
IF(RIGHT(VLOOKUP($O67,'Teilnehmende - Starters'!$D:$Z,P$11,0),1)=" ",LEFT(VLOOKUP($O67,'Teilnehmende - Starters'!$D:$Z,P$11,0),LEN(VLOOKUP($O67,'Teilnehmende - Starters'!$D:$Z,P$11,0))-1),
VLOOKUP($O67,'Teilnehmende - Starters'!$D:$Z,P$11,0))))</f>
        <v/>
      </c>
      <c r="Q67" s="1" t="str">
        <f>IF($O67="","",IF(VLOOKUP($O67,'Teilnehmende - Starters'!$D:$Z,Q$11,0)="","",
IF(RIGHT(VLOOKUP($O67,'Teilnehmende - Starters'!$D:$Z,Q$11,0),1)=" ",LEFT(VLOOKUP($O67,'Teilnehmende - Starters'!$D:$Z,Q$11,0),LEN(VLOOKUP($O67,'Teilnehmende - Starters'!$D:$Z,Q$11,0))-1),
VLOOKUP($O67,'Teilnehmende - Starters'!$D:$Z,Q$11,0))))</f>
        <v/>
      </c>
      <c r="R67" s="1" t="str">
        <f t="shared" si="19"/>
        <v/>
      </c>
      <c r="S67" s="1" t="str">
        <f>IF($O67="","",IF(VLOOKUP($O67,'Teilnehmende - Starters'!$D:$Z,S$11,0)="","",VLOOKUP($O67,'Teilnehmende - Starters'!$D:$Z,S$11,0)))</f>
        <v/>
      </c>
      <c r="T67" s="1" t="str">
        <f>IF($O67="","",IF(VLOOKUP($O67,'Teilnehmende - Starters'!$D:$Z,T$11,0)="","",VLOOKUP($O67,'Teilnehmende - Starters'!$D:$Z,T$11,0)))</f>
        <v/>
      </c>
      <c r="U67" s="1" t="str">
        <f>IF($O67="","",IF(VLOOKUP(O67,'Teilnehmende - Starters'!$C:$I,7,0)="w",IF(OR(S67=20,S67=19),"DE","ME"),IF(OR(S67=20,S67=19),"HE","JE")))</f>
        <v/>
      </c>
      <c r="V67" s="1" t="str">
        <f t="shared" si="20"/>
        <v/>
      </c>
      <c r="W67" s="17"/>
      <c r="X67" s="1" t="str">
        <f>IF(ISERROR(SMALL('Teilnehmende - Starters'!$E$81:$E$156,ROW(A53))),"",SMALL('Teilnehmende - Starters'!$E$81:$E$156,ROW(A53)))</f>
        <v/>
      </c>
      <c r="Y67" s="1" t="str">
        <f>IF(X67="","",VLOOKUP(X67,'Teilnehmende - Starters'!$C:$Z,5,0)&amp;" "&amp;VLOOKUP(X67,'Teilnehmende - Starters'!$C:$Z,6,0))</f>
        <v/>
      </c>
      <c r="Z67" s="1" t="str">
        <f t="shared" si="21"/>
        <v/>
      </c>
      <c r="AA67" s="1" t="str">
        <f>IF(X67="","",IF(VLOOKUP(X67,'Teilnehmende - Starters'!$C:$Z,18,0)="Freimeldung",$A$2*100+99,VLOOKUP(Y67,'Teilnehmende - Starters'!$AA$5:$AD$80,4,FALSE)))</f>
        <v/>
      </c>
      <c r="AB67" s="1" t="str">
        <f>IF(AA67="","",IF(VLOOKUP(X67,'Teilnehmende - Starters'!$C:$Z,18,0)="Freimeldung","Freimeldung",VLOOKUP(AA67,$A$15:$E$77,4,0)&amp;" "&amp;VLOOKUP(AA67,$A$15:$E$77,5,0)))</f>
        <v/>
      </c>
      <c r="AC67" s="1" t="str">
        <f>IF(AA67="","",IF(VLOOKUP(X67,'Teilnehmende - Starters'!$C:$Z,18,0)="Freimeldung","",VLOOKUP(AA67,$A$15:$C$77,3,0)))</f>
        <v/>
      </c>
      <c r="AD67" s="1" t="str">
        <f>IF($X67="","",IF(VLOOKUP($X67,'Teilnehmende - Starters'!$C:$Z,AD$11,0)="","",VLOOKUP($X67,'Teilnehmende - Starters'!$C:$Z,AD$11,0)))</f>
        <v/>
      </c>
      <c r="AE67" s="1" t="str">
        <f>IF($X67="","",IF(VLOOKUP($X67,'Teilnehmende - Starters'!$C:$Z,AE$11,0)="","",VLOOKUP($X67,'Teilnehmende - Starters'!$C:$Z,AE$11,0)))</f>
        <v/>
      </c>
      <c r="AF67" s="1" t="str">
        <f>IF($X67="","",IF(VLOOKUP(X67,'Teilnehmende - Starters'!$C:$I,7,0)="w",IF(OR(AD67=20,AD67=19),"DD","MD"),IF(OR(AD67=20,AD67=19),"HD","JD")))</f>
        <v/>
      </c>
      <c r="AG67" s="1" t="str">
        <f t="shared" si="22"/>
        <v/>
      </c>
      <c r="AH67" s="17"/>
      <c r="AI67" s="1" t="str">
        <f>IF(ISERROR(SMALL('Teilnehmende - Starters'!$F$81:$F$156,ROW(#REF!))),"",SMALL('Teilnehmende - Starters'!$F$81:$F$156,ROW(#REF!)))</f>
        <v/>
      </c>
      <c r="AJ67" s="1" t="str">
        <f>IF(AI67="","",VLOOKUP(AI67,'Teilnehmende - Starters'!$C:$Z,5,0)&amp;" "&amp;VLOOKUP(AI67,'Teilnehmende - Starters'!$C:$Z,6,0))</f>
        <v/>
      </c>
      <c r="AK67" s="1" t="str">
        <f t="shared" si="23"/>
        <v/>
      </c>
      <c r="AL67" s="1" t="str">
        <f>IF(AI67="","",IF(VLOOKUP(AI67,'Teilnehmende - Starters'!$C:$AN,21,0)="Freimeldung",$A$2*100+99,VLOOKUP(AJ67,'Teilnehmende - Starters'!$AB$5:$AD$80,3,FALSE)))</f>
        <v/>
      </c>
      <c r="AM67" s="1" t="str">
        <f>IF(AL67="","",IF(VLOOKUP(AI67,'Teilnehmende - Starters'!$C:$Z,21,0)="Freimeldung","Freimeldung",VLOOKUP(AL67,$A$15:$E$77,4,0)&amp;" "&amp;VLOOKUP(AL67,$A$15:$E$77,5,0)))</f>
        <v/>
      </c>
      <c r="AN67" s="1" t="str">
        <f>IF(AL67="","",IF(VLOOKUP(AI67,'Teilnehmende - Starters'!$C:$Z,21,0)="Freimeldung","",VLOOKUP(AL67,$A$15:$C$77,3,0)))</f>
        <v/>
      </c>
      <c r="AO67" s="1" t="str">
        <f>IF($AI67="","",IF(VLOOKUP($AI67,'Teilnehmende - Starters'!$C:$Z,AO$11,0)="","",VLOOKUP($AI67,'Teilnehmende - Starters'!$C:$Z,AO$11,0)))</f>
        <v/>
      </c>
      <c r="AP67" s="1" t="str">
        <f>IF($AI67="","",IF(VLOOKUP($AI67,'Teilnehmende - Starters'!$C:$Z,AP$11,0)="","",VLOOKUP($AI67,'Teilnehmende - Starters'!$C:$Z,AP$11,0)))</f>
        <v/>
      </c>
      <c r="AQ67" s="1" t="str">
        <f t="shared" si="17"/>
        <v/>
      </c>
      <c r="AR67" s="1" t="str">
        <f t="shared" si="24"/>
        <v/>
      </c>
    </row>
    <row r="68" spans="1:44" x14ac:dyDescent="0.3">
      <c r="A68" s="1" t="str">
        <f>IF(ISERROR(SMALL('Teilnehmende - Starters'!$C$81:$C$156,ROW(A54))),"",SMALL('Teilnehmende - Starters'!$C$81:$C$156,ROW(A54)))</f>
        <v/>
      </c>
      <c r="B68" s="1" t="str">
        <f>IF($A68="","",IF(VLOOKUP($A68,'Teilnehmende - Starters'!$C:$Z,B$11,0)="","",SUBSTITUTE(VLOOKUP($A68,'Teilnehmende - Starters'!$C:$Z,B$11,0)," ","")))</f>
        <v/>
      </c>
      <c r="C68" s="1" t="str">
        <f>IF(A68="","",VLOOKUP(INT(A68/100),'Vereine - Clubs'!$C:$H,4,0))</f>
        <v/>
      </c>
      <c r="D68" s="1" t="str">
        <f>IF($A68="","",IF(VLOOKUP($A68,'Teilnehmende - Starters'!$C:$Z,D$11,0)="","",
IF(RIGHT(VLOOKUP($A68,'Teilnehmende - Starters'!$C:$Z,D$11,0),1)=" ",LEFT(VLOOKUP($A68,'Teilnehmende - Starters'!$C:$Z,D$11,0),LEN(VLOOKUP($A68,'Teilnehmende - Starters'!$C:$Z,D$11,0))-1),
VLOOKUP($A68,'Teilnehmende - Starters'!$C:$Z,D$11,0))))</f>
        <v/>
      </c>
      <c r="E68" s="1" t="str">
        <f>IF($A68="","",IF(VLOOKUP($A68,'Teilnehmende - Starters'!$C:$Z,E$11,0)="","",
IF(RIGHT(VLOOKUP($A68,'Teilnehmende - Starters'!$C:$Z,E$11,0),1)=" ",LEFT(VLOOKUP($A68,'Teilnehmende - Starters'!$C:$Z,E$11,0),LEN(VLOOKUP($A68,'Teilnehmende - Starters'!$C:$Z,E$11,0))-1),
VLOOKUP($A68,'Teilnehmende - Starters'!$C:$Z,E$11,0))))</f>
        <v/>
      </c>
      <c r="F68" s="72" t="str">
        <f>IF($A68="","",IF(VLOOKUP($A68,'Teilnehmende - Starters'!$C:$Z,F$11,0)="","",VLOOKUP($A68,'Teilnehmende - Starters'!$C:$Z,F$11,0)))</f>
        <v/>
      </c>
      <c r="G68" s="1" t="str">
        <f>IF($A68="","",IF(VLOOKUP($A68,'Teilnehmende - Starters'!$C:$Z,G$11,0)="","",VLOOKUP($A68,'Teilnehmende - Starters'!$C:$Z,G$11,0)))</f>
        <v/>
      </c>
      <c r="H68" s="1" t="str">
        <f>IF($A68="","",IF(VLOOKUP($A68,'Teilnehmende - Starters'!$C:$Z,H$11,0)="","",VLOOKUP($A68,'Teilnehmende - Starters'!$C:$Z,H$11,0)))</f>
        <v/>
      </c>
      <c r="I68" s="1" t="str">
        <f>IF($A68="","",IF(VLOOKUP($A68,'Teilnehmende - Starters'!$C:$Z,I$11,0)="","",VLOOKUP($A68,'Teilnehmende - Starters'!$C:$Z,I$11,0)))</f>
        <v/>
      </c>
      <c r="J68" s="1" t="str">
        <f>IF($A68="","",IF(VLOOKUP($A68,'Teilnehmende - Starters'!$C:$Z,J$11,0)="","",VLOOKUP($A68,'Teilnehmende - Starters'!$C:$Z,J$11,0)))</f>
        <v/>
      </c>
      <c r="K68" s="1" t="str">
        <f>IF($A68="","",IF(VLOOKUP($A68,'Teilnehmende - Starters'!$C:$Z,K$11,0)="","",VLOOKUP($A68,'Teilnehmende - Starters'!$C:$Z,K$11,0)))</f>
        <v/>
      </c>
      <c r="L68" s="1" t="str">
        <f>IF($A68="","",IF(VLOOKUP($A68,'Teilnehmende - Starters'!$C:$Z,L$11,0)="","",VLOOKUP($A68,'Teilnehmende - Starters'!$C:$Z,L$11,0)))</f>
        <v/>
      </c>
      <c r="M68" s="1" t="str">
        <f>IF($A68="","",IF(VLOOKUP($A68,'Teilnehmende - Starters'!$C:$Z,M$11,0)="","",VLOOKUP($A68,'Teilnehmende - Starters'!$C:$Z,M$11,0)))</f>
        <v/>
      </c>
      <c r="N68" s="17"/>
      <c r="O68" s="1" t="str">
        <f>IF(ISERROR(SMALL('Teilnehmende - Starters'!$D$81:$D$156,ROW(A54))),"",SMALL('Teilnehmende - Starters'!$D$81:$D$156,ROW(A54)))</f>
        <v/>
      </c>
      <c r="P68" s="1" t="str">
        <f>IF($O68="","",IF(VLOOKUP($O68,'Teilnehmende - Starters'!$D:$Z,P$11,0)="","",
IF(RIGHT(VLOOKUP($O68,'Teilnehmende - Starters'!$D:$Z,P$11,0),1)=" ",LEFT(VLOOKUP($O68,'Teilnehmende - Starters'!$D:$Z,P$11,0),LEN(VLOOKUP($O68,'Teilnehmende - Starters'!$D:$Z,P$11,0))-1),
VLOOKUP($O68,'Teilnehmende - Starters'!$D:$Z,P$11,0))))</f>
        <v/>
      </c>
      <c r="Q68" s="1" t="str">
        <f>IF($O68="","",IF(VLOOKUP($O68,'Teilnehmende - Starters'!$D:$Z,Q$11,0)="","",
IF(RIGHT(VLOOKUP($O68,'Teilnehmende - Starters'!$D:$Z,Q$11,0),1)=" ",LEFT(VLOOKUP($O68,'Teilnehmende - Starters'!$D:$Z,Q$11,0),LEN(VLOOKUP($O68,'Teilnehmende - Starters'!$D:$Z,Q$11,0))-1),
VLOOKUP($O68,'Teilnehmende - Starters'!$D:$Z,Q$11,0))))</f>
        <v/>
      </c>
      <c r="R68" s="1" t="str">
        <f t="shared" si="19"/>
        <v/>
      </c>
      <c r="S68" s="1" t="str">
        <f>IF($O68="","",IF(VLOOKUP($O68,'Teilnehmende - Starters'!$D:$Z,S$11,0)="","",VLOOKUP($O68,'Teilnehmende - Starters'!$D:$Z,S$11,0)))</f>
        <v/>
      </c>
      <c r="T68" s="1" t="str">
        <f>IF($O68="","",IF(VLOOKUP($O68,'Teilnehmende - Starters'!$D:$Z,T$11,0)="","",VLOOKUP($O68,'Teilnehmende - Starters'!$D:$Z,T$11,0)))</f>
        <v/>
      </c>
      <c r="U68" s="1" t="str">
        <f>IF($O68="","",IF(VLOOKUP(O68,'Teilnehmende - Starters'!$C:$I,7,0)="w",IF(OR(S68=20,S68=19),"DE","ME"),IF(OR(S68=20,S68=19),"HE","JE")))</f>
        <v/>
      </c>
      <c r="V68" s="1" t="str">
        <f t="shared" si="20"/>
        <v/>
      </c>
      <c r="W68" s="17"/>
      <c r="X68" s="1" t="str">
        <f>IF(ISERROR(SMALL('Teilnehmende - Starters'!$E$81:$E$156,ROW(A54))),"",SMALL('Teilnehmende - Starters'!$E$81:$E$156,ROW(A54)))</f>
        <v/>
      </c>
      <c r="Y68" s="1" t="str">
        <f>IF(X68="","",VLOOKUP(X68,'Teilnehmende - Starters'!$C:$Z,5,0)&amp;" "&amp;VLOOKUP(X68,'Teilnehmende - Starters'!$C:$Z,6,0))</f>
        <v/>
      </c>
      <c r="Z68" s="1" t="str">
        <f t="shared" si="21"/>
        <v/>
      </c>
      <c r="AA68" s="1" t="str">
        <f>IF(X68="","",IF(VLOOKUP(X68,'Teilnehmende - Starters'!$C:$Z,18,0)="Freimeldung",$A$2*100+99,VLOOKUP(Y68,'Teilnehmende - Starters'!$AA$5:$AD$80,4,FALSE)))</f>
        <v/>
      </c>
      <c r="AB68" s="1" t="str">
        <f>IF(AA68="","",IF(VLOOKUP(X68,'Teilnehmende - Starters'!$C:$Z,18,0)="Freimeldung","Freimeldung",VLOOKUP(AA68,$A$15:$E$77,4,0)&amp;" "&amp;VLOOKUP(AA68,$A$15:$E$77,5,0)))</f>
        <v/>
      </c>
      <c r="AC68" s="1" t="str">
        <f>IF(AA68="","",IF(VLOOKUP(X68,'Teilnehmende - Starters'!$C:$Z,18,0)="Freimeldung","",VLOOKUP(AA68,$A$15:$C$77,3,0)))</f>
        <v/>
      </c>
      <c r="AD68" s="1" t="str">
        <f>IF($X68="","",IF(VLOOKUP($X68,'Teilnehmende - Starters'!$C:$Z,AD$11,0)="","",VLOOKUP($X68,'Teilnehmende - Starters'!$C:$Z,AD$11,0)))</f>
        <v/>
      </c>
      <c r="AE68" s="1" t="str">
        <f>IF($X68="","",IF(VLOOKUP($X68,'Teilnehmende - Starters'!$C:$Z,AE$11,0)="","",VLOOKUP($X68,'Teilnehmende - Starters'!$C:$Z,AE$11,0)))</f>
        <v/>
      </c>
      <c r="AF68" s="1" t="str">
        <f>IF($X68="","",IF(VLOOKUP(X68,'Teilnehmende - Starters'!$C:$I,7,0)="w",IF(OR(AD68=20,AD68=19),"DD","MD"),IF(OR(AD68=20,AD68=19),"HD","JD")))</f>
        <v/>
      </c>
      <c r="AG68" s="1" t="str">
        <f t="shared" si="22"/>
        <v/>
      </c>
      <c r="AH68" s="17"/>
      <c r="AI68" s="1" t="str">
        <f>IF(ISERROR(SMALL('Teilnehmende - Starters'!$F$81:$F$156,ROW(#REF!))),"",SMALL('Teilnehmende - Starters'!$F$81:$F$156,ROW(#REF!)))</f>
        <v/>
      </c>
      <c r="AJ68" s="1" t="str">
        <f>IF(AI68="","",VLOOKUP(AI68,'Teilnehmende - Starters'!$C:$Z,5,0)&amp;" "&amp;VLOOKUP(AI68,'Teilnehmende - Starters'!$C:$Z,6,0))</f>
        <v/>
      </c>
      <c r="AK68" s="1" t="str">
        <f t="shared" si="23"/>
        <v/>
      </c>
      <c r="AL68" s="1" t="str">
        <f>IF(AI68="","",IF(VLOOKUP(AI68,'Teilnehmende - Starters'!$C:$AN,21,0)="Freimeldung",$A$2*100+99,VLOOKUP(AJ68,'Teilnehmende - Starters'!$AB$5:$AD$80,3,FALSE)))</f>
        <v/>
      </c>
      <c r="AM68" s="1" t="str">
        <f>IF(AL68="","",IF(VLOOKUP(AI68,'Teilnehmende - Starters'!$C:$Z,21,0)="Freimeldung","Freimeldung",VLOOKUP(AL68,$A$15:$E$77,4,0)&amp;" "&amp;VLOOKUP(AL68,$A$15:$E$77,5,0)))</f>
        <v/>
      </c>
      <c r="AN68" s="1" t="str">
        <f>IF(AL68="","",IF(VLOOKUP(AI68,'Teilnehmende - Starters'!$C:$Z,21,0)="Freimeldung","",VLOOKUP(AL68,$A$15:$C$77,3,0)))</f>
        <v/>
      </c>
      <c r="AO68" s="1" t="str">
        <f>IF($AI68="","",IF(VLOOKUP($AI68,'Teilnehmende - Starters'!$C:$Z,AO$11,0)="","",VLOOKUP($AI68,'Teilnehmende - Starters'!$C:$Z,AO$11,0)))</f>
        <v/>
      </c>
      <c r="AP68" s="1" t="str">
        <f>IF($AI68="","",IF(VLOOKUP($AI68,'Teilnehmende - Starters'!$C:$Z,AP$11,0)="","",VLOOKUP($AI68,'Teilnehmende - Starters'!$C:$Z,AP$11,0)))</f>
        <v/>
      </c>
      <c r="AQ68" s="1" t="str">
        <f t="shared" si="17"/>
        <v/>
      </c>
      <c r="AR68" s="1" t="str">
        <f t="shared" si="24"/>
        <v/>
      </c>
    </row>
    <row r="69" spans="1:44" x14ac:dyDescent="0.3">
      <c r="A69" s="1" t="str">
        <f>IF(ISERROR(SMALL('Teilnehmende - Starters'!$C$81:$C$156,ROW(A55))),"",SMALL('Teilnehmende - Starters'!$C$81:$C$156,ROW(A55)))</f>
        <v/>
      </c>
      <c r="B69" s="1" t="str">
        <f>IF($A69="","",IF(VLOOKUP($A69,'Teilnehmende - Starters'!$C:$Z,B$11,0)="","",SUBSTITUTE(VLOOKUP($A69,'Teilnehmende - Starters'!$C:$Z,B$11,0)," ","")))</f>
        <v/>
      </c>
      <c r="C69" s="1" t="str">
        <f>IF(A69="","",VLOOKUP(INT(A69/100),'Vereine - Clubs'!$C:$H,4,0))</f>
        <v/>
      </c>
      <c r="D69" s="1" t="str">
        <f>IF($A69="","",IF(VLOOKUP($A69,'Teilnehmende - Starters'!$C:$Z,D$11,0)="","",
IF(RIGHT(VLOOKUP($A69,'Teilnehmende - Starters'!$C:$Z,D$11,0),1)=" ",LEFT(VLOOKUP($A69,'Teilnehmende - Starters'!$C:$Z,D$11,0),LEN(VLOOKUP($A69,'Teilnehmende - Starters'!$C:$Z,D$11,0))-1),
VLOOKUP($A69,'Teilnehmende - Starters'!$C:$Z,D$11,0))))</f>
        <v/>
      </c>
      <c r="E69" s="1" t="str">
        <f>IF($A69="","",IF(VLOOKUP($A69,'Teilnehmende - Starters'!$C:$Z,E$11,0)="","",
IF(RIGHT(VLOOKUP($A69,'Teilnehmende - Starters'!$C:$Z,E$11,0),1)=" ",LEFT(VLOOKUP($A69,'Teilnehmende - Starters'!$C:$Z,E$11,0),LEN(VLOOKUP($A69,'Teilnehmende - Starters'!$C:$Z,E$11,0))-1),
VLOOKUP($A69,'Teilnehmende - Starters'!$C:$Z,E$11,0))))</f>
        <v/>
      </c>
      <c r="F69" s="72" t="str">
        <f>IF($A69="","",IF(VLOOKUP($A69,'Teilnehmende - Starters'!$C:$Z,F$11,0)="","",VLOOKUP($A69,'Teilnehmende - Starters'!$C:$Z,F$11,0)))</f>
        <v/>
      </c>
      <c r="G69" s="1" t="str">
        <f>IF($A69="","",IF(VLOOKUP($A69,'Teilnehmende - Starters'!$C:$Z,G$11,0)="","",VLOOKUP($A69,'Teilnehmende - Starters'!$C:$Z,G$11,0)))</f>
        <v/>
      </c>
      <c r="H69" s="1" t="str">
        <f>IF($A69="","",IF(VLOOKUP($A69,'Teilnehmende - Starters'!$C:$Z,H$11,0)="","",VLOOKUP($A69,'Teilnehmende - Starters'!$C:$Z,H$11,0)))</f>
        <v/>
      </c>
      <c r="I69" s="1" t="str">
        <f>IF($A69="","",IF(VLOOKUP($A69,'Teilnehmende - Starters'!$C:$Z,I$11,0)="","",VLOOKUP($A69,'Teilnehmende - Starters'!$C:$Z,I$11,0)))</f>
        <v/>
      </c>
      <c r="J69" s="1" t="str">
        <f>IF($A69="","",IF(VLOOKUP($A69,'Teilnehmende - Starters'!$C:$Z,J$11,0)="","",VLOOKUP($A69,'Teilnehmende - Starters'!$C:$Z,J$11,0)))</f>
        <v/>
      </c>
      <c r="K69" s="1" t="str">
        <f>IF($A69="","",IF(VLOOKUP($A69,'Teilnehmende - Starters'!$C:$Z,K$11,0)="","",VLOOKUP($A69,'Teilnehmende - Starters'!$C:$Z,K$11,0)))</f>
        <v/>
      </c>
      <c r="L69" s="1" t="str">
        <f>IF($A69="","",IF(VLOOKUP($A69,'Teilnehmende - Starters'!$C:$Z,L$11,0)="","",VLOOKUP($A69,'Teilnehmende - Starters'!$C:$Z,L$11,0)))</f>
        <v/>
      </c>
      <c r="M69" s="1" t="str">
        <f>IF($A69="","",IF(VLOOKUP($A69,'Teilnehmende - Starters'!$C:$Z,M$11,0)="","",VLOOKUP($A69,'Teilnehmende - Starters'!$C:$Z,M$11,0)))</f>
        <v/>
      </c>
      <c r="N69" s="17"/>
      <c r="O69" s="1" t="str">
        <f>IF(ISERROR(SMALL('Teilnehmende - Starters'!$D$81:$D$156,ROW(A55))),"",SMALL('Teilnehmende - Starters'!$D$81:$D$156,ROW(A55)))</f>
        <v/>
      </c>
      <c r="P69" s="1" t="str">
        <f>IF($O69="","",IF(VLOOKUP($O69,'Teilnehmende - Starters'!$D:$Z,P$11,0)="","",
IF(RIGHT(VLOOKUP($O69,'Teilnehmende - Starters'!$D:$Z,P$11,0),1)=" ",LEFT(VLOOKUP($O69,'Teilnehmende - Starters'!$D:$Z,P$11,0),LEN(VLOOKUP($O69,'Teilnehmende - Starters'!$D:$Z,P$11,0))-1),
VLOOKUP($O69,'Teilnehmende - Starters'!$D:$Z,P$11,0))))</f>
        <v/>
      </c>
      <c r="Q69" s="1" t="str">
        <f>IF($O69="","",IF(VLOOKUP($O69,'Teilnehmende - Starters'!$D:$Z,Q$11,0)="","",
IF(RIGHT(VLOOKUP($O69,'Teilnehmende - Starters'!$D:$Z,Q$11,0),1)=" ",LEFT(VLOOKUP($O69,'Teilnehmende - Starters'!$D:$Z,Q$11,0),LEN(VLOOKUP($O69,'Teilnehmende - Starters'!$D:$Z,Q$11,0))-1),
VLOOKUP($O69,'Teilnehmende - Starters'!$D:$Z,Q$11,0))))</f>
        <v/>
      </c>
      <c r="R69" s="1" t="str">
        <f t="shared" si="19"/>
        <v/>
      </c>
      <c r="S69" s="1" t="str">
        <f>IF($O69="","",IF(VLOOKUP($O69,'Teilnehmende - Starters'!$D:$Z,S$11,0)="","",VLOOKUP($O69,'Teilnehmende - Starters'!$D:$Z,S$11,0)))</f>
        <v/>
      </c>
      <c r="T69" s="1" t="str">
        <f>IF($O69="","",IF(VLOOKUP($O69,'Teilnehmende - Starters'!$D:$Z,T$11,0)="","",VLOOKUP($O69,'Teilnehmende - Starters'!$D:$Z,T$11,0)))</f>
        <v/>
      </c>
      <c r="U69" s="1" t="str">
        <f>IF($O69="","",IF(VLOOKUP(O69,'Teilnehmende - Starters'!$C:$I,7,0)="w",IF(OR(S69=20,S69=19),"DE","ME"),IF(OR(S69=20,S69=19),"HE","JE")))</f>
        <v/>
      </c>
      <c r="V69" s="1" t="str">
        <f t="shared" si="20"/>
        <v/>
      </c>
      <c r="W69" s="17"/>
      <c r="X69" s="1" t="str">
        <f>IF(ISERROR(SMALL('Teilnehmende - Starters'!$E$81:$E$156,ROW(A55))),"",SMALL('Teilnehmende - Starters'!$E$81:$E$156,ROW(A55)))</f>
        <v/>
      </c>
      <c r="Y69" s="1" t="str">
        <f>IF(X69="","",VLOOKUP(X69,'Teilnehmende - Starters'!$C:$Z,5,0)&amp;" "&amp;VLOOKUP(X69,'Teilnehmende - Starters'!$C:$Z,6,0))</f>
        <v/>
      </c>
      <c r="Z69" s="1" t="str">
        <f t="shared" si="21"/>
        <v/>
      </c>
      <c r="AA69" s="1" t="str">
        <f>IF(X69="","",IF(VLOOKUP(X69,'Teilnehmende - Starters'!$C:$Z,18,0)="Freimeldung",$A$2*100+99,VLOOKUP(Y69,'Teilnehmende - Starters'!$AA$5:$AD$80,4,FALSE)))</f>
        <v/>
      </c>
      <c r="AB69" s="1" t="str">
        <f>IF(AA69="","",IF(VLOOKUP(X69,'Teilnehmende - Starters'!$C:$Z,18,0)="Freimeldung","Freimeldung",VLOOKUP(AA69,$A$15:$E$77,4,0)&amp;" "&amp;VLOOKUP(AA69,$A$15:$E$77,5,0)))</f>
        <v/>
      </c>
      <c r="AC69" s="1" t="str">
        <f>IF(AA69="","",IF(VLOOKUP(X69,'Teilnehmende - Starters'!$C:$Z,18,0)="Freimeldung","",VLOOKUP(AA69,$A$15:$C$77,3,0)))</f>
        <v/>
      </c>
      <c r="AD69" s="1" t="str">
        <f>IF($X69="","",IF(VLOOKUP($X69,'Teilnehmende - Starters'!$C:$Z,AD$11,0)="","",VLOOKUP($X69,'Teilnehmende - Starters'!$C:$Z,AD$11,0)))</f>
        <v/>
      </c>
      <c r="AE69" s="1" t="str">
        <f>IF($X69="","",IF(VLOOKUP($X69,'Teilnehmende - Starters'!$C:$Z,AE$11,0)="","",VLOOKUP($X69,'Teilnehmende - Starters'!$C:$Z,AE$11,0)))</f>
        <v/>
      </c>
      <c r="AF69" s="1" t="str">
        <f>IF($X69="","",IF(VLOOKUP(X69,'Teilnehmende - Starters'!$C:$I,7,0)="w",IF(OR(AD69=20,AD69=19),"DD","MD"),IF(OR(AD69=20,AD69=19),"HD","JD")))</f>
        <v/>
      </c>
      <c r="AG69" s="1" t="str">
        <f t="shared" si="22"/>
        <v/>
      </c>
      <c r="AH69" s="17"/>
      <c r="AI69" s="1" t="str">
        <f>IF(ISERROR(SMALL('Teilnehmende - Starters'!$F$81:$F$156,ROW(#REF!))),"",SMALL('Teilnehmende - Starters'!$F$81:$F$156,ROW(#REF!)))</f>
        <v/>
      </c>
      <c r="AJ69" s="1" t="str">
        <f>IF(AI69="","",VLOOKUP(AI69,'Teilnehmende - Starters'!$C:$Z,5,0)&amp;" "&amp;VLOOKUP(AI69,'Teilnehmende - Starters'!$C:$Z,6,0))</f>
        <v/>
      </c>
      <c r="AK69" s="1" t="str">
        <f t="shared" si="23"/>
        <v/>
      </c>
      <c r="AL69" s="1" t="str">
        <f>IF(AI69="","",IF(VLOOKUP(AI69,'Teilnehmende - Starters'!$C:$AN,21,0)="Freimeldung",$A$2*100+99,VLOOKUP(AJ69,'Teilnehmende - Starters'!$AB$5:$AD$80,3,FALSE)))</f>
        <v/>
      </c>
      <c r="AM69" s="1" t="str">
        <f>IF(AL69="","",IF(VLOOKUP(AI69,'Teilnehmende - Starters'!$C:$Z,21,0)="Freimeldung","Freimeldung",VLOOKUP(AL69,$A$15:$E$77,4,0)&amp;" "&amp;VLOOKUP(AL69,$A$15:$E$77,5,0)))</f>
        <v/>
      </c>
      <c r="AN69" s="1" t="str">
        <f>IF(AL69="","",IF(VLOOKUP(AI69,'Teilnehmende - Starters'!$C:$Z,21,0)="Freimeldung","",VLOOKUP(AL69,$A$15:$C$77,3,0)))</f>
        <v/>
      </c>
      <c r="AO69" s="1" t="str">
        <f>IF($AI69="","",IF(VLOOKUP($AI69,'Teilnehmende - Starters'!$C:$Z,AO$11,0)="","",VLOOKUP($AI69,'Teilnehmende - Starters'!$C:$Z,AO$11,0)))</f>
        <v/>
      </c>
      <c r="AP69" s="1" t="str">
        <f>IF($AI69="","",IF(VLOOKUP($AI69,'Teilnehmende - Starters'!$C:$Z,AP$11,0)="","",VLOOKUP($AI69,'Teilnehmende - Starters'!$C:$Z,AP$11,0)))</f>
        <v/>
      </c>
      <c r="AQ69" s="1" t="str">
        <f t="shared" si="17"/>
        <v/>
      </c>
      <c r="AR69" s="1" t="str">
        <f t="shared" si="24"/>
        <v/>
      </c>
    </row>
    <row r="70" spans="1:44" x14ac:dyDescent="0.3">
      <c r="A70" s="1" t="str">
        <f>IF(ISERROR(SMALL('Teilnehmende - Starters'!$C$81:$C$156,ROW(A56))),"",SMALL('Teilnehmende - Starters'!$C$81:$C$156,ROW(A56)))</f>
        <v/>
      </c>
      <c r="B70" s="1" t="str">
        <f>IF($A70="","",IF(VLOOKUP($A70,'Teilnehmende - Starters'!$C:$Z,B$11,0)="","",SUBSTITUTE(VLOOKUP($A70,'Teilnehmende - Starters'!$C:$Z,B$11,0)," ","")))</f>
        <v/>
      </c>
      <c r="C70" s="1" t="str">
        <f>IF(A70="","",VLOOKUP(INT(A70/100),'Vereine - Clubs'!$C:$H,4,0))</f>
        <v/>
      </c>
      <c r="D70" s="1" t="str">
        <f>IF($A70="","",IF(VLOOKUP($A70,'Teilnehmende - Starters'!$C:$Z,D$11,0)="","",
IF(RIGHT(VLOOKUP($A70,'Teilnehmende - Starters'!$C:$Z,D$11,0),1)=" ",LEFT(VLOOKUP($A70,'Teilnehmende - Starters'!$C:$Z,D$11,0),LEN(VLOOKUP($A70,'Teilnehmende - Starters'!$C:$Z,D$11,0))-1),
VLOOKUP($A70,'Teilnehmende - Starters'!$C:$Z,D$11,0))))</f>
        <v/>
      </c>
      <c r="E70" s="1" t="str">
        <f>IF($A70="","",IF(VLOOKUP($A70,'Teilnehmende - Starters'!$C:$Z,E$11,0)="","",
IF(RIGHT(VLOOKUP($A70,'Teilnehmende - Starters'!$C:$Z,E$11,0),1)=" ",LEFT(VLOOKUP($A70,'Teilnehmende - Starters'!$C:$Z,E$11,0),LEN(VLOOKUP($A70,'Teilnehmende - Starters'!$C:$Z,E$11,0))-1),
VLOOKUP($A70,'Teilnehmende - Starters'!$C:$Z,E$11,0))))</f>
        <v/>
      </c>
      <c r="F70" s="72" t="str">
        <f>IF($A70="","",IF(VLOOKUP($A70,'Teilnehmende - Starters'!$C:$Z,F$11,0)="","",VLOOKUP($A70,'Teilnehmende - Starters'!$C:$Z,F$11,0)))</f>
        <v/>
      </c>
      <c r="G70" s="1" t="str">
        <f>IF($A70="","",IF(VLOOKUP($A70,'Teilnehmende - Starters'!$C:$Z,G$11,0)="","",VLOOKUP($A70,'Teilnehmende - Starters'!$C:$Z,G$11,0)))</f>
        <v/>
      </c>
      <c r="H70" s="1" t="str">
        <f>IF($A70="","",IF(VLOOKUP($A70,'Teilnehmende - Starters'!$C:$Z,H$11,0)="","",VLOOKUP($A70,'Teilnehmende - Starters'!$C:$Z,H$11,0)))</f>
        <v/>
      </c>
      <c r="I70" s="1" t="str">
        <f>IF($A70="","",IF(VLOOKUP($A70,'Teilnehmende - Starters'!$C:$Z,I$11,0)="","",VLOOKUP($A70,'Teilnehmende - Starters'!$C:$Z,I$11,0)))</f>
        <v/>
      </c>
      <c r="J70" s="1" t="str">
        <f>IF($A70="","",IF(VLOOKUP($A70,'Teilnehmende - Starters'!$C:$Z,J$11,0)="","",VLOOKUP($A70,'Teilnehmende - Starters'!$C:$Z,J$11,0)))</f>
        <v/>
      </c>
      <c r="K70" s="1" t="str">
        <f>IF($A70="","",IF(VLOOKUP($A70,'Teilnehmende - Starters'!$C:$Z,K$11,0)="","",VLOOKUP($A70,'Teilnehmende - Starters'!$C:$Z,K$11,0)))</f>
        <v/>
      </c>
      <c r="L70" s="1" t="str">
        <f>IF($A70="","",IF(VLOOKUP($A70,'Teilnehmende - Starters'!$C:$Z,L$11,0)="","",VLOOKUP($A70,'Teilnehmende - Starters'!$C:$Z,L$11,0)))</f>
        <v/>
      </c>
      <c r="M70" s="1" t="str">
        <f>IF($A70="","",IF(VLOOKUP($A70,'Teilnehmende - Starters'!$C:$Z,M$11,0)="","",VLOOKUP($A70,'Teilnehmende - Starters'!$C:$Z,M$11,0)))</f>
        <v/>
      </c>
      <c r="N70" s="17"/>
      <c r="O70" s="1" t="str">
        <f>IF(ISERROR(SMALL('Teilnehmende - Starters'!$D$81:$D$156,ROW(A56))),"",SMALL('Teilnehmende - Starters'!$D$81:$D$156,ROW(A56)))</f>
        <v/>
      </c>
      <c r="P70" s="1" t="str">
        <f>IF($O70="","",IF(VLOOKUP($O70,'Teilnehmende - Starters'!$D:$Z,P$11,0)="","",
IF(RIGHT(VLOOKUP($O70,'Teilnehmende - Starters'!$D:$Z,P$11,0),1)=" ",LEFT(VLOOKUP($O70,'Teilnehmende - Starters'!$D:$Z,P$11,0),LEN(VLOOKUP($O70,'Teilnehmende - Starters'!$D:$Z,P$11,0))-1),
VLOOKUP($O70,'Teilnehmende - Starters'!$D:$Z,P$11,0))))</f>
        <v/>
      </c>
      <c r="Q70" s="1" t="str">
        <f>IF($O70="","",IF(VLOOKUP($O70,'Teilnehmende - Starters'!$D:$Z,Q$11,0)="","",
IF(RIGHT(VLOOKUP($O70,'Teilnehmende - Starters'!$D:$Z,Q$11,0),1)=" ",LEFT(VLOOKUP($O70,'Teilnehmende - Starters'!$D:$Z,Q$11,0),LEN(VLOOKUP($O70,'Teilnehmende - Starters'!$D:$Z,Q$11,0))-1),
VLOOKUP($O70,'Teilnehmende - Starters'!$D:$Z,Q$11,0))))</f>
        <v/>
      </c>
      <c r="R70" s="1" t="str">
        <f t="shared" si="19"/>
        <v/>
      </c>
      <c r="S70" s="1" t="str">
        <f>IF($O70="","",IF(VLOOKUP($O70,'Teilnehmende - Starters'!$D:$Z,S$11,0)="","",VLOOKUP($O70,'Teilnehmende - Starters'!$D:$Z,S$11,0)))</f>
        <v/>
      </c>
      <c r="T70" s="1" t="str">
        <f>IF($O70="","",IF(VLOOKUP($O70,'Teilnehmende - Starters'!$D:$Z,T$11,0)="","",VLOOKUP($O70,'Teilnehmende - Starters'!$D:$Z,T$11,0)))</f>
        <v/>
      </c>
      <c r="U70" s="1" t="str">
        <f>IF($O70="","",IF(VLOOKUP(O70,'Teilnehmende - Starters'!$C:$I,7,0)="w",IF(OR(S70=20,S70=19),"DE","ME"),IF(OR(S70=20,S70=19),"HE","JE")))</f>
        <v/>
      </c>
      <c r="V70" s="1" t="str">
        <f t="shared" si="20"/>
        <v/>
      </c>
      <c r="W70" s="17"/>
      <c r="X70" s="1" t="str">
        <f>IF(ISERROR(SMALL('Teilnehmende - Starters'!$E$81:$E$156,ROW(A56))),"",SMALL('Teilnehmende - Starters'!$E$81:$E$156,ROW(A56)))</f>
        <v/>
      </c>
      <c r="Y70" s="1" t="str">
        <f>IF(X70="","",VLOOKUP(X70,'Teilnehmende - Starters'!$C:$Z,5,0)&amp;" "&amp;VLOOKUP(X70,'Teilnehmende - Starters'!$C:$Z,6,0))</f>
        <v/>
      </c>
      <c r="Z70" s="1" t="str">
        <f t="shared" si="21"/>
        <v/>
      </c>
      <c r="AA70" s="1" t="str">
        <f>IF(X70="","",IF(VLOOKUP(X70,'Teilnehmende - Starters'!$C:$Z,18,0)="Freimeldung",$A$2*100+99,VLOOKUP(Y70,'Teilnehmende - Starters'!$AA$5:$AD$80,4,FALSE)))</f>
        <v/>
      </c>
      <c r="AB70" s="1" t="str">
        <f>IF(AA70="","",IF(VLOOKUP(X70,'Teilnehmende - Starters'!$C:$Z,18,0)="Freimeldung","Freimeldung",VLOOKUP(AA70,$A$15:$E$77,4,0)&amp;" "&amp;VLOOKUP(AA70,$A$15:$E$77,5,0)))</f>
        <v/>
      </c>
      <c r="AC70" s="1" t="str">
        <f>IF(AA70="","",IF(VLOOKUP(X70,'Teilnehmende - Starters'!$C:$Z,18,0)="Freimeldung","",VLOOKUP(AA70,$A$15:$C$77,3,0)))</f>
        <v/>
      </c>
      <c r="AD70" s="1" t="str">
        <f>IF($X70="","",IF(VLOOKUP($X70,'Teilnehmende - Starters'!$C:$Z,AD$11,0)="","",VLOOKUP($X70,'Teilnehmende - Starters'!$C:$Z,AD$11,0)))</f>
        <v/>
      </c>
      <c r="AE70" s="1" t="str">
        <f>IF($X70="","",IF(VLOOKUP($X70,'Teilnehmende - Starters'!$C:$Z,AE$11,0)="","",VLOOKUP($X70,'Teilnehmende - Starters'!$C:$Z,AE$11,0)))</f>
        <v/>
      </c>
      <c r="AF70" s="1" t="str">
        <f>IF($X70="","",IF(VLOOKUP(X70,'Teilnehmende - Starters'!$C:$I,7,0)="w",IF(OR(AD70=20,AD70=19),"DD","MD"),IF(OR(AD70=20,AD70=19),"HD","JD")))</f>
        <v/>
      </c>
      <c r="AG70" s="1" t="str">
        <f t="shared" si="22"/>
        <v/>
      </c>
      <c r="AH70" s="17"/>
      <c r="AI70" s="1" t="str">
        <f>IF(ISERROR(SMALL('Teilnehmende - Starters'!$F$81:$F$156,ROW(#REF!))),"",SMALL('Teilnehmende - Starters'!$F$81:$F$156,ROW(#REF!)))</f>
        <v/>
      </c>
      <c r="AJ70" s="1" t="str">
        <f>IF(AI70="","",VLOOKUP(AI70,'Teilnehmende - Starters'!$C:$Z,5,0)&amp;" "&amp;VLOOKUP(AI70,'Teilnehmende - Starters'!$C:$Z,6,0))</f>
        <v/>
      </c>
      <c r="AK70" s="1" t="str">
        <f t="shared" si="23"/>
        <v/>
      </c>
      <c r="AL70" s="1" t="str">
        <f>IF(AI70="","",IF(VLOOKUP(AI70,'Teilnehmende - Starters'!$C:$AN,21,0)="Freimeldung",$A$2*100+99,VLOOKUP(AJ70,'Teilnehmende - Starters'!$AB$5:$AD$80,3,FALSE)))</f>
        <v/>
      </c>
      <c r="AM70" s="1" t="str">
        <f>IF(AL70="","",IF(VLOOKUP(AI70,'Teilnehmende - Starters'!$C:$Z,21,0)="Freimeldung","Freimeldung",VLOOKUP(AL70,$A$15:$E$77,4,0)&amp;" "&amp;VLOOKUP(AL70,$A$15:$E$77,5,0)))</f>
        <v/>
      </c>
      <c r="AN70" s="1" t="str">
        <f>IF(AL70="","",IF(VLOOKUP(AI70,'Teilnehmende - Starters'!$C:$Z,21,0)="Freimeldung","",VLOOKUP(AL70,$A$15:$C$77,3,0)))</f>
        <v/>
      </c>
      <c r="AO70" s="1" t="str">
        <f>IF($AI70="","",IF(VLOOKUP($AI70,'Teilnehmende - Starters'!$C:$Z,AO$11,0)="","",VLOOKUP($AI70,'Teilnehmende - Starters'!$C:$Z,AO$11,0)))</f>
        <v/>
      </c>
      <c r="AP70" s="1" t="str">
        <f>IF($AI70="","",IF(VLOOKUP($AI70,'Teilnehmende - Starters'!$C:$Z,AP$11,0)="","",VLOOKUP($AI70,'Teilnehmende - Starters'!$C:$Z,AP$11,0)))</f>
        <v/>
      </c>
      <c r="AQ70" s="1" t="str">
        <f t="shared" si="17"/>
        <v/>
      </c>
      <c r="AR70" s="1" t="str">
        <f t="shared" si="24"/>
        <v/>
      </c>
    </row>
    <row r="71" spans="1:44" x14ac:dyDescent="0.3">
      <c r="A71" s="1" t="str">
        <f>IF(ISERROR(SMALL('Teilnehmende - Starters'!$C$81:$C$156,ROW(A57))),"",SMALL('Teilnehmende - Starters'!$C$81:$C$156,ROW(A57)))</f>
        <v/>
      </c>
      <c r="B71" s="1" t="str">
        <f>IF($A71="","",IF(VLOOKUP($A71,'Teilnehmende - Starters'!$C:$Z,B$11,0)="","",SUBSTITUTE(VLOOKUP($A71,'Teilnehmende - Starters'!$C:$Z,B$11,0)," ","")))</f>
        <v/>
      </c>
      <c r="C71" s="1" t="str">
        <f>IF(A71="","",VLOOKUP(INT(A71/100),'Vereine - Clubs'!$C:$H,4,0))</f>
        <v/>
      </c>
      <c r="D71" s="1" t="str">
        <f>IF($A71="","",IF(VLOOKUP($A71,'Teilnehmende - Starters'!$C:$Z,D$11,0)="","",
IF(RIGHT(VLOOKUP($A71,'Teilnehmende - Starters'!$C:$Z,D$11,0),1)=" ",LEFT(VLOOKUP($A71,'Teilnehmende - Starters'!$C:$Z,D$11,0),LEN(VLOOKUP($A71,'Teilnehmende - Starters'!$C:$Z,D$11,0))-1),
VLOOKUP($A71,'Teilnehmende - Starters'!$C:$Z,D$11,0))))</f>
        <v/>
      </c>
      <c r="E71" s="1" t="str">
        <f>IF($A71="","",IF(VLOOKUP($A71,'Teilnehmende - Starters'!$C:$Z,E$11,0)="","",
IF(RIGHT(VLOOKUP($A71,'Teilnehmende - Starters'!$C:$Z,E$11,0),1)=" ",LEFT(VLOOKUP($A71,'Teilnehmende - Starters'!$C:$Z,E$11,0),LEN(VLOOKUP($A71,'Teilnehmende - Starters'!$C:$Z,E$11,0))-1),
VLOOKUP($A71,'Teilnehmende - Starters'!$C:$Z,E$11,0))))</f>
        <v/>
      </c>
      <c r="F71" s="72" t="str">
        <f>IF($A71="","",IF(VLOOKUP($A71,'Teilnehmende - Starters'!$C:$Z,F$11,0)="","",VLOOKUP($A71,'Teilnehmende - Starters'!$C:$Z,F$11,0)))</f>
        <v/>
      </c>
      <c r="G71" s="1" t="str">
        <f>IF($A71="","",IF(VLOOKUP($A71,'Teilnehmende - Starters'!$C:$Z,G$11,0)="","",VLOOKUP($A71,'Teilnehmende - Starters'!$C:$Z,G$11,0)))</f>
        <v/>
      </c>
      <c r="H71" s="1" t="str">
        <f>IF($A71="","",IF(VLOOKUP($A71,'Teilnehmende - Starters'!$C:$Z,H$11,0)="","",VLOOKUP($A71,'Teilnehmende - Starters'!$C:$Z,H$11,0)))</f>
        <v/>
      </c>
      <c r="I71" s="1" t="str">
        <f>IF($A71="","",IF(VLOOKUP($A71,'Teilnehmende - Starters'!$C:$Z,I$11,0)="","",VLOOKUP($A71,'Teilnehmende - Starters'!$C:$Z,I$11,0)))</f>
        <v/>
      </c>
      <c r="J71" s="1" t="str">
        <f>IF($A71="","",IF(VLOOKUP($A71,'Teilnehmende - Starters'!$C:$Z,J$11,0)="","",VLOOKUP($A71,'Teilnehmende - Starters'!$C:$Z,J$11,0)))</f>
        <v/>
      </c>
      <c r="K71" s="1" t="str">
        <f>IF($A71="","",IF(VLOOKUP($A71,'Teilnehmende - Starters'!$C:$Z,K$11,0)="","",VLOOKUP($A71,'Teilnehmende - Starters'!$C:$Z,K$11,0)))</f>
        <v/>
      </c>
      <c r="L71" s="1" t="str">
        <f>IF($A71="","",IF(VLOOKUP($A71,'Teilnehmende - Starters'!$C:$Z,L$11,0)="","",VLOOKUP($A71,'Teilnehmende - Starters'!$C:$Z,L$11,0)))</f>
        <v/>
      </c>
      <c r="M71" s="1" t="str">
        <f>IF($A71="","",IF(VLOOKUP($A71,'Teilnehmende - Starters'!$C:$Z,M$11,0)="","",VLOOKUP($A71,'Teilnehmende - Starters'!$C:$Z,M$11,0)))</f>
        <v/>
      </c>
      <c r="N71" s="17"/>
      <c r="O71" s="1" t="str">
        <f>IF(ISERROR(SMALL('Teilnehmende - Starters'!$D$81:$D$156,ROW(A57))),"",SMALL('Teilnehmende - Starters'!$D$81:$D$156,ROW(A57)))</f>
        <v/>
      </c>
      <c r="P71" s="1" t="str">
        <f>IF($O71="","",IF(VLOOKUP($O71,'Teilnehmende - Starters'!$D:$Z,P$11,0)="","",
IF(RIGHT(VLOOKUP($O71,'Teilnehmende - Starters'!$D:$Z,P$11,0),1)=" ",LEFT(VLOOKUP($O71,'Teilnehmende - Starters'!$D:$Z,P$11,0),LEN(VLOOKUP($O71,'Teilnehmende - Starters'!$D:$Z,P$11,0))-1),
VLOOKUP($O71,'Teilnehmende - Starters'!$D:$Z,P$11,0))))</f>
        <v/>
      </c>
      <c r="Q71" s="1" t="str">
        <f>IF($O71="","",IF(VLOOKUP($O71,'Teilnehmende - Starters'!$D:$Z,Q$11,0)="","",
IF(RIGHT(VLOOKUP($O71,'Teilnehmende - Starters'!$D:$Z,Q$11,0),1)=" ",LEFT(VLOOKUP($O71,'Teilnehmende - Starters'!$D:$Z,Q$11,0),LEN(VLOOKUP($O71,'Teilnehmende - Starters'!$D:$Z,Q$11,0))-1),
VLOOKUP($O71,'Teilnehmende - Starters'!$D:$Z,Q$11,0))))</f>
        <v/>
      </c>
      <c r="R71" s="1" t="str">
        <f t="shared" si="19"/>
        <v/>
      </c>
      <c r="S71" s="1" t="str">
        <f>IF($O71="","",IF(VLOOKUP($O71,'Teilnehmende - Starters'!$D:$Z,S$11,0)="","",VLOOKUP($O71,'Teilnehmende - Starters'!$D:$Z,S$11,0)))</f>
        <v/>
      </c>
      <c r="T71" s="1" t="str">
        <f>IF($O71="","",IF(VLOOKUP($O71,'Teilnehmende - Starters'!$D:$Z,T$11,0)="","",VLOOKUP($O71,'Teilnehmende - Starters'!$D:$Z,T$11,0)))</f>
        <v/>
      </c>
      <c r="U71" s="1" t="str">
        <f>IF($O71="","",IF(VLOOKUP(O71,'Teilnehmende - Starters'!$C:$I,7,0)="w",IF(OR(S71=20,S71=19),"DE","ME"),IF(OR(S71=20,S71=19),"HE","JE")))</f>
        <v/>
      </c>
      <c r="V71" s="1" t="str">
        <f t="shared" si="20"/>
        <v/>
      </c>
      <c r="W71" s="17"/>
      <c r="X71" s="1" t="str">
        <f>IF(ISERROR(SMALL('Teilnehmende - Starters'!$E$81:$E$156,ROW(A57))),"",SMALL('Teilnehmende - Starters'!$E$81:$E$156,ROW(A57)))</f>
        <v/>
      </c>
      <c r="Y71" s="1" t="str">
        <f>IF(X71="","",VLOOKUP(X71,'Teilnehmende - Starters'!$C:$Z,5,0)&amp;" "&amp;VLOOKUP(X71,'Teilnehmende - Starters'!$C:$Z,6,0))</f>
        <v/>
      </c>
      <c r="Z71" s="1" t="str">
        <f t="shared" si="21"/>
        <v/>
      </c>
      <c r="AA71" s="1" t="str">
        <f>IF(X71="","",IF(VLOOKUP(X71,'Teilnehmende - Starters'!$C:$Z,18,0)="Freimeldung",$A$2*100+99,VLOOKUP(Y71,'Teilnehmende - Starters'!$AA$5:$AD$80,4,FALSE)))</f>
        <v/>
      </c>
      <c r="AB71" s="1" t="str">
        <f>IF(AA71="","",IF(VLOOKUP(X71,'Teilnehmende - Starters'!$C:$Z,18,0)="Freimeldung","Freimeldung",VLOOKUP(AA71,$A$15:$E$77,4,0)&amp;" "&amp;VLOOKUP(AA71,$A$15:$E$77,5,0)))</f>
        <v/>
      </c>
      <c r="AC71" s="1" t="str">
        <f>IF(AA71="","",IF(VLOOKUP(X71,'Teilnehmende - Starters'!$C:$Z,18,0)="Freimeldung","",VLOOKUP(AA71,$A$15:$C$77,3,0)))</f>
        <v/>
      </c>
      <c r="AD71" s="1" t="str">
        <f>IF($X71="","",IF(VLOOKUP($X71,'Teilnehmende - Starters'!$C:$Z,AD$11,0)="","",VLOOKUP($X71,'Teilnehmende - Starters'!$C:$Z,AD$11,0)))</f>
        <v/>
      </c>
      <c r="AE71" s="1" t="str">
        <f>IF($X71="","",IF(VLOOKUP($X71,'Teilnehmende - Starters'!$C:$Z,AE$11,0)="","",VLOOKUP($X71,'Teilnehmende - Starters'!$C:$Z,AE$11,0)))</f>
        <v/>
      </c>
      <c r="AF71" s="1" t="str">
        <f>IF($X71="","",IF(VLOOKUP(X71,'Teilnehmende - Starters'!$C:$I,7,0)="w",IF(OR(AD71=20,AD71=19),"DD","MD"),IF(OR(AD71=20,AD71=19),"HD","JD")))</f>
        <v/>
      </c>
      <c r="AG71" s="1" t="str">
        <f t="shared" si="22"/>
        <v/>
      </c>
      <c r="AH71" s="17"/>
      <c r="AI71" s="1" t="str">
        <f>IF(ISERROR(SMALL('Teilnehmende - Starters'!$F$81:$F$156,ROW(#REF!))),"",SMALL('Teilnehmende - Starters'!$F$81:$F$156,ROW(#REF!)))</f>
        <v/>
      </c>
      <c r="AJ71" s="1" t="str">
        <f>IF(AI71="","",VLOOKUP(AI71,'Teilnehmende - Starters'!$C:$Z,5,0)&amp;" "&amp;VLOOKUP(AI71,'Teilnehmende - Starters'!$C:$Z,6,0))</f>
        <v/>
      </c>
      <c r="AK71" s="1" t="str">
        <f t="shared" si="23"/>
        <v/>
      </c>
      <c r="AL71" s="1" t="str">
        <f>IF(AI71="","",IF(VLOOKUP(AI71,'Teilnehmende - Starters'!$C:$AN,21,0)="Freimeldung",$A$2*100+99,VLOOKUP(AJ71,'Teilnehmende - Starters'!$AB$5:$AD$80,3,FALSE)))</f>
        <v/>
      </c>
      <c r="AM71" s="1" t="str">
        <f>IF(AL71="","",IF(VLOOKUP(AI71,'Teilnehmende - Starters'!$C:$Z,21,0)="Freimeldung","Freimeldung",VLOOKUP(AL71,$A$15:$E$77,4,0)&amp;" "&amp;VLOOKUP(AL71,$A$15:$E$77,5,0)))</f>
        <v/>
      </c>
      <c r="AN71" s="1" t="str">
        <f>IF(AL71="","",IF(VLOOKUP(AI71,'Teilnehmende - Starters'!$C:$Z,21,0)="Freimeldung","",VLOOKUP(AL71,$A$15:$C$77,3,0)))</f>
        <v/>
      </c>
      <c r="AO71" s="1" t="str">
        <f>IF($AI71="","",IF(VLOOKUP($AI71,'Teilnehmende - Starters'!$C:$Z,AO$11,0)="","",VLOOKUP($AI71,'Teilnehmende - Starters'!$C:$Z,AO$11,0)))</f>
        <v/>
      </c>
      <c r="AP71" s="1" t="str">
        <f>IF($AI71="","",IF(VLOOKUP($AI71,'Teilnehmende - Starters'!$C:$Z,AP$11,0)="","",VLOOKUP($AI71,'Teilnehmende - Starters'!$C:$Z,AP$11,0)))</f>
        <v/>
      </c>
      <c r="AQ71" s="1" t="str">
        <f t="shared" si="17"/>
        <v/>
      </c>
      <c r="AR71" s="1" t="str">
        <f t="shared" si="24"/>
        <v/>
      </c>
    </row>
    <row r="72" spans="1:44" x14ac:dyDescent="0.3">
      <c r="A72" s="1" t="str">
        <f>IF(ISERROR(SMALL('Teilnehmende - Starters'!$C$81:$C$156,ROW(A58))),"",SMALL('Teilnehmende - Starters'!$C$81:$C$156,ROW(A58)))</f>
        <v/>
      </c>
      <c r="B72" s="1" t="str">
        <f>IF($A72="","",IF(VLOOKUP($A72,'Teilnehmende - Starters'!$C:$Z,B$11,0)="","",SUBSTITUTE(VLOOKUP($A72,'Teilnehmende - Starters'!$C:$Z,B$11,0)," ","")))</f>
        <v/>
      </c>
      <c r="C72" s="1" t="str">
        <f>IF(A72="","",VLOOKUP(INT(A72/100),'Vereine - Clubs'!$C:$H,4,0))</f>
        <v/>
      </c>
      <c r="D72" s="1" t="str">
        <f>IF($A72="","",IF(VLOOKUP($A72,'Teilnehmende - Starters'!$C:$Z,D$11,0)="","",
IF(RIGHT(VLOOKUP($A72,'Teilnehmende - Starters'!$C:$Z,D$11,0),1)=" ",LEFT(VLOOKUP($A72,'Teilnehmende - Starters'!$C:$Z,D$11,0),LEN(VLOOKUP($A72,'Teilnehmende - Starters'!$C:$Z,D$11,0))-1),
VLOOKUP($A72,'Teilnehmende - Starters'!$C:$Z,D$11,0))))</f>
        <v/>
      </c>
      <c r="E72" s="1" t="str">
        <f>IF($A72="","",IF(VLOOKUP($A72,'Teilnehmende - Starters'!$C:$Z,E$11,0)="","",
IF(RIGHT(VLOOKUP($A72,'Teilnehmende - Starters'!$C:$Z,E$11,0),1)=" ",LEFT(VLOOKUP($A72,'Teilnehmende - Starters'!$C:$Z,E$11,0),LEN(VLOOKUP($A72,'Teilnehmende - Starters'!$C:$Z,E$11,0))-1),
VLOOKUP($A72,'Teilnehmende - Starters'!$C:$Z,E$11,0))))</f>
        <v/>
      </c>
      <c r="F72" s="72" t="str">
        <f>IF($A72="","",IF(VLOOKUP($A72,'Teilnehmende - Starters'!$C:$Z,F$11,0)="","",VLOOKUP($A72,'Teilnehmende - Starters'!$C:$Z,F$11,0)))</f>
        <v/>
      </c>
      <c r="G72" s="1" t="str">
        <f>IF($A72="","",IF(VLOOKUP($A72,'Teilnehmende - Starters'!$C:$Z,G$11,0)="","",VLOOKUP($A72,'Teilnehmende - Starters'!$C:$Z,G$11,0)))</f>
        <v/>
      </c>
      <c r="H72" s="1" t="str">
        <f>IF($A72="","",IF(VLOOKUP($A72,'Teilnehmende - Starters'!$C:$Z,H$11,0)="","",VLOOKUP($A72,'Teilnehmende - Starters'!$C:$Z,H$11,0)))</f>
        <v/>
      </c>
      <c r="I72" s="1" t="str">
        <f>IF($A72="","",IF(VLOOKUP($A72,'Teilnehmende - Starters'!$C:$Z,I$11,0)="","",VLOOKUP($A72,'Teilnehmende - Starters'!$C:$Z,I$11,0)))</f>
        <v/>
      </c>
      <c r="J72" s="1" t="str">
        <f>IF($A72="","",IF(VLOOKUP($A72,'Teilnehmende - Starters'!$C:$Z,J$11,0)="","",VLOOKUP($A72,'Teilnehmende - Starters'!$C:$Z,J$11,0)))</f>
        <v/>
      </c>
      <c r="K72" s="1" t="str">
        <f>IF($A72="","",IF(VLOOKUP($A72,'Teilnehmende - Starters'!$C:$Z,K$11,0)="","",VLOOKUP($A72,'Teilnehmende - Starters'!$C:$Z,K$11,0)))</f>
        <v/>
      </c>
      <c r="L72" s="1" t="str">
        <f>IF($A72="","",IF(VLOOKUP($A72,'Teilnehmende - Starters'!$C:$Z,L$11,0)="","",VLOOKUP($A72,'Teilnehmende - Starters'!$C:$Z,L$11,0)))</f>
        <v/>
      </c>
      <c r="M72" s="1" t="str">
        <f>IF($A72="","",IF(VLOOKUP($A72,'Teilnehmende - Starters'!$C:$Z,M$11,0)="","",VLOOKUP($A72,'Teilnehmende - Starters'!$C:$Z,M$11,0)))</f>
        <v/>
      </c>
      <c r="N72" s="17"/>
      <c r="O72" s="1" t="str">
        <f>IF(ISERROR(SMALL('Teilnehmende - Starters'!$D$81:$D$156,ROW(A58))),"",SMALL('Teilnehmende - Starters'!$D$81:$D$156,ROW(A58)))</f>
        <v/>
      </c>
      <c r="P72" s="1" t="str">
        <f>IF($O72="","",IF(VLOOKUP($O72,'Teilnehmende - Starters'!$D:$Z,P$11,0)="","",
IF(RIGHT(VLOOKUP($O72,'Teilnehmende - Starters'!$D:$Z,P$11,0),1)=" ",LEFT(VLOOKUP($O72,'Teilnehmende - Starters'!$D:$Z,P$11,0),LEN(VLOOKUP($O72,'Teilnehmende - Starters'!$D:$Z,P$11,0))-1),
VLOOKUP($O72,'Teilnehmende - Starters'!$D:$Z,P$11,0))))</f>
        <v/>
      </c>
      <c r="Q72" s="1" t="str">
        <f>IF($O72="","",IF(VLOOKUP($O72,'Teilnehmende - Starters'!$D:$Z,Q$11,0)="","",
IF(RIGHT(VLOOKUP($O72,'Teilnehmende - Starters'!$D:$Z,Q$11,0),1)=" ",LEFT(VLOOKUP($O72,'Teilnehmende - Starters'!$D:$Z,Q$11,0),LEN(VLOOKUP($O72,'Teilnehmende - Starters'!$D:$Z,Q$11,0))-1),
VLOOKUP($O72,'Teilnehmende - Starters'!$D:$Z,Q$11,0))))</f>
        <v/>
      </c>
      <c r="R72" s="1" t="str">
        <f t="shared" si="19"/>
        <v/>
      </c>
      <c r="S72" s="1" t="str">
        <f>IF($O72="","",IF(VLOOKUP($O72,'Teilnehmende - Starters'!$D:$Z,S$11,0)="","",VLOOKUP($O72,'Teilnehmende - Starters'!$D:$Z,S$11,0)))</f>
        <v/>
      </c>
      <c r="T72" s="1" t="str">
        <f>IF($O72="","",IF(VLOOKUP($O72,'Teilnehmende - Starters'!$D:$Z,T$11,0)="","",VLOOKUP($O72,'Teilnehmende - Starters'!$D:$Z,T$11,0)))</f>
        <v/>
      </c>
      <c r="U72" s="1" t="str">
        <f>IF($O72="","",IF(VLOOKUP(O72,'Teilnehmende - Starters'!$C:$I,7,0)="w",IF(OR(S72=20,S72=19),"DE","ME"),IF(OR(S72=20,S72=19),"HE","JE")))</f>
        <v/>
      </c>
      <c r="V72" s="1" t="str">
        <f t="shared" si="20"/>
        <v/>
      </c>
      <c r="W72" s="17"/>
      <c r="X72" s="1" t="str">
        <f>IF(ISERROR(SMALL('Teilnehmende - Starters'!$E$81:$E$156,ROW(A58))),"",SMALL('Teilnehmende - Starters'!$E$81:$E$156,ROW(A58)))</f>
        <v/>
      </c>
      <c r="Y72" s="1" t="str">
        <f>IF(X72="","",VLOOKUP(X72,'Teilnehmende - Starters'!$C:$Z,5,0)&amp;" "&amp;VLOOKUP(X72,'Teilnehmende - Starters'!$C:$Z,6,0))</f>
        <v/>
      </c>
      <c r="Z72" s="1" t="str">
        <f t="shared" si="21"/>
        <v/>
      </c>
      <c r="AA72" s="1" t="str">
        <f>IF(X72="","",IF(VLOOKUP(X72,'Teilnehmende - Starters'!$C:$Z,18,0)="Freimeldung",$A$2*100+99,VLOOKUP(Y72,'Teilnehmende - Starters'!$AA$5:$AD$80,4,FALSE)))</f>
        <v/>
      </c>
      <c r="AB72" s="1" t="str">
        <f>IF(AA72="","",IF(VLOOKUP(X72,'Teilnehmende - Starters'!$C:$Z,18,0)="Freimeldung","Freimeldung",VLOOKUP(AA72,$A$15:$E$77,4,0)&amp;" "&amp;VLOOKUP(AA72,$A$15:$E$77,5,0)))</f>
        <v/>
      </c>
      <c r="AC72" s="1" t="str">
        <f>IF(AA72="","",IF(VLOOKUP(X72,'Teilnehmende - Starters'!$C:$Z,18,0)="Freimeldung","",VLOOKUP(AA72,$A$15:$C$77,3,0)))</f>
        <v/>
      </c>
      <c r="AD72" s="1" t="str">
        <f>IF($X72="","",IF(VLOOKUP($X72,'Teilnehmende - Starters'!$C:$Z,AD$11,0)="","",VLOOKUP($X72,'Teilnehmende - Starters'!$C:$Z,AD$11,0)))</f>
        <v/>
      </c>
      <c r="AE72" s="1" t="str">
        <f>IF($X72="","",IF(VLOOKUP($X72,'Teilnehmende - Starters'!$C:$Z,AE$11,0)="","",VLOOKUP($X72,'Teilnehmende - Starters'!$C:$Z,AE$11,0)))</f>
        <v/>
      </c>
      <c r="AF72" s="1" t="str">
        <f>IF($X72="","",IF(VLOOKUP(X72,'Teilnehmende - Starters'!$C:$I,7,0)="w",IF(OR(AD72=20,AD72=19),"DD","MD"),IF(OR(AD72=20,AD72=19),"HD","JD")))</f>
        <v/>
      </c>
      <c r="AG72" s="1" t="str">
        <f t="shared" si="22"/>
        <v/>
      </c>
      <c r="AH72" s="17"/>
      <c r="AI72" s="1" t="str">
        <f>IF(ISERROR(SMALL('Teilnehmende - Starters'!$F$81:$F$156,ROW(#REF!))),"",SMALL('Teilnehmende - Starters'!$F$81:$F$156,ROW(#REF!)))</f>
        <v/>
      </c>
      <c r="AJ72" s="1" t="str">
        <f>IF(AI72="","",VLOOKUP(AI72,'Teilnehmende - Starters'!$C:$Z,5,0)&amp;" "&amp;VLOOKUP(AI72,'Teilnehmende - Starters'!$C:$Z,6,0))</f>
        <v/>
      </c>
      <c r="AK72" s="1" t="str">
        <f t="shared" si="23"/>
        <v/>
      </c>
      <c r="AL72" s="1" t="str">
        <f>IF(AI72="","",IF(VLOOKUP(AI72,'Teilnehmende - Starters'!$C:$AN,21,0)="Freimeldung",$A$2*100+99,VLOOKUP(AJ72,'Teilnehmende - Starters'!$AB$5:$AD$80,3,FALSE)))</f>
        <v/>
      </c>
      <c r="AM72" s="1" t="str">
        <f>IF(AL72="","",IF(VLOOKUP(AI72,'Teilnehmende - Starters'!$C:$Z,21,0)="Freimeldung","Freimeldung",VLOOKUP(AL72,$A$15:$E$77,4,0)&amp;" "&amp;VLOOKUP(AL72,$A$15:$E$77,5,0)))</f>
        <v/>
      </c>
      <c r="AN72" s="1" t="str">
        <f>IF(AL72="","",IF(VLOOKUP(AI72,'Teilnehmende - Starters'!$C:$Z,21,0)="Freimeldung","",VLOOKUP(AL72,$A$15:$C$77,3,0)))</f>
        <v/>
      </c>
      <c r="AO72" s="1" t="str">
        <f>IF($AI72="","",IF(VLOOKUP($AI72,'Teilnehmende - Starters'!$C:$Z,AO$11,0)="","",VLOOKUP($AI72,'Teilnehmende - Starters'!$C:$Z,AO$11,0)))</f>
        <v/>
      </c>
      <c r="AP72" s="1" t="str">
        <f>IF($AI72="","",IF(VLOOKUP($AI72,'Teilnehmende - Starters'!$C:$Z,AP$11,0)="","",VLOOKUP($AI72,'Teilnehmende - Starters'!$C:$Z,AP$11,0)))</f>
        <v/>
      </c>
      <c r="AQ72" s="1" t="str">
        <f t="shared" si="17"/>
        <v/>
      </c>
      <c r="AR72" s="1" t="str">
        <f t="shared" si="24"/>
        <v/>
      </c>
    </row>
    <row r="73" spans="1:44" x14ac:dyDescent="0.3">
      <c r="A73" s="1" t="str">
        <f>IF(ISERROR(SMALL('Teilnehmende - Starters'!$C$81:$C$156,ROW(A59))),"",SMALL('Teilnehmende - Starters'!$C$81:$C$156,ROW(A59)))</f>
        <v/>
      </c>
      <c r="B73" s="1" t="str">
        <f>IF($A73="","",IF(VLOOKUP($A73,'Teilnehmende - Starters'!$C:$Z,B$11,0)="","",SUBSTITUTE(VLOOKUP($A73,'Teilnehmende - Starters'!$C:$Z,B$11,0)," ","")))</f>
        <v/>
      </c>
      <c r="C73" s="1" t="str">
        <f>IF(A73="","",VLOOKUP(INT(A73/100),'Vereine - Clubs'!$C:$H,4,0))</f>
        <v/>
      </c>
      <c r="D73" s="1" t="str">
        <f>IF($A73="","",IF(VLOOKUP($A73,'Teilnehmende - Starters'!$C:$Z,D$11,0)="","",
IF(RIGHT(VLOOKUP($A73,'Teilnehmende - Starters'!$C:$Z,D$11,0),1)=" ",LEFT(VLOOKUP($A73,'Teilnehmende - Starters'!$C:$Z,D$11,0),LEN(VLOOKUP($A73,'Teilnehmende - Starters'!$C:$Z,D$11,0))-1),
VLOOKUP($A73,'Teilnehmende - Starters'!$C:$Z,D$11,0))))</f>
        <v/>
      </c>
      <c r="E73" s="1" t="str">
        <f>IF($A73="","",IF(VLOOKUP($A73,'Teilnehmende - Starters'!$C:$Z,E$11,0)="","",
IF(RIGHT(VLOOKUP($A73,'Teilnehmende - Starters'!$C:$Z,E$11,0),1)=" ",LEFT(VLOOKUP($A73,'Teilnehmende - Starters'!$C:$Z,E$11,0),LEN(VLOOKUP($A73,'Teilnehmende - Starters'!$C:$Z,E$11,0))-1),
VLOOKUP($A73,'Teilnehmende - Starters'!$C:$Z,E$11,0))))</f>
        <v/>
      </c>
      <c r="F73" s="72" t="str">
        <f>IF($A73="","",IF(VLOOKUP($A73,'Teilnehmende - Starters'!$C:$Z,F$11,0)="","",VLOOKUP($A73,'Teilnehmende - Starters'!$C:$Z,F$11,0)))</f>
        <v/>
      </c>
      <c r="G73" s="1" t="str">
        <f>IF($A73="","",IF(VLOOKUP($A73,'Teilnehmende - Starters'!$C:$Z,G$11,0)="","",VLOOKUP($A73,'Teilnehmende - Starters'!$C:$Z,G$11,0)))</f>
        <v/>
      </c>
      <c r="H73" s="1" t="str">
        <f>IF($A73="","",IF(VLOOKUP($A73,'Teilnehmende - Starters'!$C:$Z,H$11,0)="","",VLOOKUP($A73,'Teilnehmende - Starters'!$C:$Z,H$11,0)))</f>
        <v/>
      </c>
      <c r="I73" s="1" t="str">
        <f>IF($A73="","",IF(VLOOKUP($A73,'Teilnehmende - Starters'!$C:$Z,I$11,0)="","",VLOOKUP($A73,'Teilnehmende - Starters'!$C:$Z,I$11,0)))</f>
        <v/>
      </c>
      <c r="J73" s="1" t="str">
        <f>IF($A73="","",IF(VLOOKUP($A73,'Teilnehmende - Starters'!$C:$Z,J$11,0)="","",VLOOKUP($A73,'Teilnehmende - Starters'!$C:$Z,J$11,0)))</f>
        <v/>
      </c>
      <c r="K73" s="1" t="str">
        <f>IF($A73="","",IF(VLOOKUP($A73,'Teilnehmende - Starters'!$C:$Z,K$11,0)="","",VLOOKUP($A73,'Teilnehmende - Starters'!$C:$Z,K$11,0)))</f>
        <v/>
      </c>
      <c r="L73" s="1" t="str">
        <f>IF($A73="","",IF(VLOOKUP($A73,'Teilnehmende - Starters'!$C:$Z,L$11,0)="","",VLOOKUP($A73,'Teilnehmende - Starters'!$C:$Z,L$11,0)))</f>
        <v/>
      </c>
      <c r="M73" s="1" t="str">
        <f>IF($A73="","",IF(VLOOKUP($A73,'Teilnehmende - Starters'!$C:$Z,M$11,0)="","",VLOOKUP($A73,'Teilnehmende - Starters'!$C:$Z,M$11,0)))</f>
        <v/>
      </c>
      <c r="N73" s="17"/>
      <c r="O73" s="1" t="str">
        <f>IF(ISERROR(SMALL('Teilnehmende - Starters'!$D$81:$D$156,ROW(A59))),"",SMALL('Teilnehmende - Starters'!$D$81:$D$156,ROW(A59)))</f>
        <v/>
      </c>
      <c r="P73" s="1" t="str">
        <f>IF($O73="","",IF(VLOOKUP($O73,'Teilnehmende - Starters'!$D:$Z,P$11,0)="","",
IF(RIGHT(VLOOKUP($O73,'Teilnehmende - Starters'!$D:$Z,P$11,0),1)=" ",LEFT(VLOOKUP($O73,'Teilnehmende - Starters'!$D:$Z,P$11,0),LEN(VLOOKUP($O73,'Teilnehmende - Starters'!$D:$Z,P$11,0))-1),
VLOOKUP($O73,'Teilnehmende - Starters'!$D:$Z,P$11,0))))</f>
        <v/>
      </c>
      <c r="Q73" s="1" t="str">
        <f>IF($O73="","",IF(VLOOKUP($O73,'Teilnehmende - Starters'!$D:$Z,Q$11,0)="","",
IF(RIGHT(VLOOKUP($O73,'Teilnehmende - Starters'!$D:$Z,Q$11,0),1)=" ",LEFT(VLOOKUP($O73,'Teilnehmende - Starters'!$D:$Z,Q$11,0),LEN(VLOOKUP($O73,'Teilnehmende - Starters'!$D:$Z,Q$11,0))-1),
VLOOKUP($O73,'Teilnehmende - Starters'!$D:$Z,Q$11,0))))</f>
        <v/>
      </c>
      <c r="R73" s="1" t="str">
        <f t="shared" si="19"/>
        <v/>
      </c>
      <c r="S73" s="1" t="str">
        <f>IF($O73="","",IF(VLOOKUP($O73,'Teilnehmende - Starters'!$D:$Z,S$11,0)="","",VLOOKUP($O73,'Teilnehmende - Starters'!$D:$Z,S$11,0)))</f>
        <v/>
      </c>
      <c r="T73" s="1" t="str">
        <f>IF($O73="","",IF(VLOOKUP($O73,'Teilnehmende - Starters'!$D:$Z,T$11,0)="","",VLOOKUP($O73,'Teilnehmende - Starters'!$D:$Z,T$11,0)))</f>
        <v/>
      </c>
      <c r="U73" s="1" t="str">
        <f>IF($O73="","",IF(VLOOKUP(O73,'Teilnehmende - Starters'!$C:$I,7,0)="w",IF(OR(S73=20,S73=19),"DE","ME"),IF(OR(S73=20,S73=19),"HE","JE")))</f>
        <v/>
      </c>
      <c r="V73" s="1" t="str">
        <f t="shared" si="20"/>
        <v/>
      </c>
      <c r="W73" s="17"/>
      <c r="X73" s="1" t="str">
        <f>IF(ISERROR(SMALL('Teilnehmende - Starters'!$E$81:$E$156,ROW(A59))),"",SMALL('Teilnehmende - Starters'!$E$81:$E$156,ROW(A59)))</f>
        <v/>
      </c>
      <c r="Y73" s="1" t="str">
        <f>IF(X73="","",VLOOKUP(X73,'Teilnehmende - Starters'!$C:$Z,5,0)&amp;" "&amp;VLOOKUP(X73,'Teilnehmende - Starters'!$C:$Z,6,0))</f>
        <v/>
      </c>
      <c r="Z73" s="1" t="str">
        <f t="shared" si="21"/>
        <v/>
      </c>
      <c r="AA73" s="1" t="str">
        <f>IF(X73="","",IF(VLOOKUP(X73,'Teilnehmende - Starters'!$C:$Z,18,0)="Freimeldung",$A$2*100+99,VLOOKUP(Y73,'Teilnehmende - Starters'!$AA$5:$AD$80,4,FALSE)))</f>
        <v/>
      </c>
      <c r="AB73" s="1" t="str">
        <f>IF(AA73="","",IF(VLOOKUP(X73,'Teilnehmende - Starters'!$C:$Z,18,0)="Freimeldung","Freimeldung",VLOOKUP(AA73,$A$15:$E$77,4,0)&amp;" "&amp;VLOOKUP(AA73,$A$15:$E$77,5,0)))</f>
        <v/>
      </c>
      <c r="AC73" s="1" t="str">
        <f>IF(AA73="","",IF(VLOOKUP(X73,'Teilnehmende - Starters'!$C:$Z,18,0)="Freimeldung","",VLOOKUP(AA73,$A$15:$C$77,3,0)))</f>
        <v/>
      </c>
      <c r="AD73" s="1" t="str">
        <f>IF($X73="","",IF(VLOOKUP($X73,'Teilnehmende - Starters'!$C:$Z,AD$11,0)="","",VLOOKUP($X73,'Teilnehmende - Starters'!$C:$Z,AD$11,0)))</f>
        <v/>
      </c>
      <c r="AE73" s="1" t="str">
        <f>IF($X73="","",IF(VLOOKUP($X73,'Teilnehmende - Starters'!$C:$Z,AE$11,0)="","",VLOOKUP($X73,'Teilnehmende - Starters'!$C:$Z,AE$11,0)))</f>
        <v/>
      </c>
      <c r="AF73" s="1" t="str">
        <f>IF($X73="","",IF(VLOOKUP(X73,'Teilnehmende - Starters'!$C:$I,7,0)="w",IF(OR(AD73=20,AD73=19),"DD","MD"),IF(OR(AD73=20,AD73=19),"HD","JD")))</f>
        <v/>
      </c>
      <c r="AG73" s="1" t="str">
        <f t="shared" si="22"/>
        <v/>
      </c>
      <c r="AH73" s="17"/>
      <c r="AI73" s="1" t="str">
        <f>IF(ISERROR(SMALL('Teilnehmende - Starters'!$F$81:$F$156,ROW(#REF!))),"",SMALL('Teilnehmende - Starters'!$F$81:$F$156,ROW(#REF!)))</f>
        <v/>
      </c>
      <c r="AJ73" s="1" t="str">
        <f>IF(AI73="","",VLOOKUP(AI73,'Teilnehmende - Starters'!$C:$Z,5,0)&amp;" "&amp;VLOOKUP(AI73,'Teilnehmende - Starters'!$C:$Z,6,0))</f>
        <v/>
      </c>
      <c r="AK73" s="1" t="str">
        <f t="shared" si="23"/>
        <v/>
      </c>
      <c r="AL73" s="1" t="str">
        <f>IF(AI73="","",IF(VLOOKUP(AI73,'Teilnehmende - Starters'!$C:$AN,21,0)="Freimeldung",$A$2*100+99,VLOOKUP(AJ73,'Teilnehmende - Starters'!$AB$5:$AD$80,3,FALSE)))</f>
        <v/>
      </c>
      <c r="AM73" s="1" t="str">
        <f>IF(AL73="","",IF(VLOOKUP(AI73,'Teilnehmende - Starters'!$C:$Z,21,0)="Freimeldung","Freimeldung",VLOOKUP(AL73,$A$15:$E$77,4,0)&amp;" "&amp;VLOOKUP(AL73,$A$15:$E$77,5,0)))</f>
        <v/>
      </c>
      <c r="AN73" s="1" t="str">
        <f>IF(AL73="","",IF(VLOOKUP(AI73,'Teilnehmende - Starters'!$C:$Z,21,0)="Freimeldung","",VLOOKUP(AL73,$A$15:$C$77,3,0)))</f>
        <v/>
      </c>
      <c r="AO73" s="1" t="str">
        <f>IF($AI73="","",IF(VLOOKUP($AI73,'Teilnehmende - Starters'!$C:$Z,AO$11,0)="","",VLOOKUP($AI73,'Teilnehmende - Starters'!$C:$Z,AO$11,0)))</f>
        <v/>
      </c>
      <c r="AP73" s="1" t="str">
        <f>IF($AI73="","",IF(VLOOKUP($AI73,'Teilnehmende - Starters'!$C:$Z,AP$11,0)="","",VLOOKUP($AI73,'Teilnehmende - Starters'!$C:$Z,AP$11,0)))</f>
        <v/>
      </c>
      <c r="AQ73" s="1" t="str">
        <f t="shared" si="17"/>
        <v/>
      </c>
      <c r="AR73" s="1" t="str">
        <f t="shared" si="24"/>
        <v/>
      </c>
    </row>
    <row r="74" spans="1:44" x14ac:dyDescent="0.3">
      <c r="A74" s="1" t="str">
        <f>IF(ISERROR(SMALL('Teilnehmende - Starters'!$C$81:$C$156,ROW(A60))),"",SMALL('Teilnehmende - Starters'!$C$81:$C$156,ROW(A60)))</f>
        <v/>
      </c>
      <c r="B74" s="1" t="str">
        <f>IF($A74="","",IF(VLOOKUP($A74,'Teilnehmende - Starters'!$C:$Z,B$11,0)="","",SUBSTITUTE(VLOOKUP($A74,'Teilnehmende - Starters'!$C:$Z,B$11,0)," ","")))</f>
        <v/>
      </c>
      <c r="C74" s="1" t="str">
        <f>IF(A74="","",VLOOKUP(INT(A74/100),'Vereine - Clubs'!$C:$H,4,0))</f>
        <v/>
      </c>
      <c r="D74" s="1" t="str">
        <f>IF($A74="","",IF(VLOOKUP($A74,'Teilnehmende - Starters'!$C:$Z,D$11,0)="","",
IF(RIGHT(VLOOKUP($A74,'Teilnehmende - Starters'!$C:$Z,D$11,0),1)=" ",LEFT(VLOOKUP($A74,'Teilnehmende - Starters'!$C:$Z,D$11,0),LEN(VLOOKUP($A74,'Teilnehmende - Starters'!$C:$Z,D$11,0))-1),
VLOOKUP($A74,'Teilnehmende - Starters'!$C:$Z,D$11,0))))</f>
        <v/>
      </c>
      <c r="E74" s="1" t="str">
        <f>IF($A74="","",IF(VLOOKUP($A74,'Teilnehmende - Starters'!$C:$Z,E$11,0)="","",
IF(RIGHT(VLOOKUP($A74,'Teilnehmende - Starters'!$C:$Z,E$11,0),1)=" ",LEFT(VLOOKUP($A74,'Teilnehmende - Starters'!$C:$Z,E$11,0),LEN(VLOOKUP($A74,'Teilnehmende - Starters'!$C:$Z,E$11,0))-1),
VLOOKUP($A74,'Teilnehmende - Starters'!$C:$Z,E$11,0))))</f>
        <v/>
      </c>
      <c r="F74" s="72" t="str">
        <f>IF($A74="","",IF(VLOOKUP($A74,'Teilnehmende - Starters'!$C:$Z,F$11,0)="","",VLOOKUP($A74,'Teilnehmende - Starters'!$C:$Z,F$11,0)))</f>
        <v/>
      </c>
      <c r="G74" s="1" t="str">
        <f>IF($A74="","",IF(VLOOKUP($A74,'Teilnehmende - Starters'!$C:$Z,G$11,0)="","",VLOOKUP($A74,'Teilnehmende - Starters'!$C:$Z,G$11,0)))</f>
        <v/>
      </c>
      <c r="H74" s="1" t="str">
        <f>IF($A74="","",IF(VLOOKUP($A74,'Teilnehmende - Starters'!$C:$Z,H$11,0)="","",VLOOKUP($A74,'Teilnehmende - Starters'!$C:$Z,H$11,0)))</f>
        <v/>
      </c>
      <c r="I74" s="1" t="str">
        <f>IF($A74="","",IF(VLOOKUP($A74,'Teilnehmende - Starters'!$C:$Z,I$11,0)="","",VLOOKUP($A74,'Teilnehmende - Starters'!$C:$Z,I$11,0)))</f>
        <v/>
      </c>
      <c r="J74" s="1" t="str">
        <f>IF($A74="","",IF(VLOOKUP($A74,'Teilnehmende - Starters'!$C:$Z,J$11,0)="","",VLOOKUP($A74,'Teilnehmende - Starters'!$C:$Z,J$11,0)))</f>
        <v/>
      </c>
      <c r="K74" s="1" t="str">
        <f>IF($A74="","",IF(VLOOKUP($A74,'Teilnehmende - Starters'!$C:$Z,K$11,0)="","",VLOOKUP($A74,'Teilnehmende - Starters'!$C:$Z,K$11,0)))</f>
        <v/>
      </c>
      <c r="L74" s="1" t="str">
        <f>IF($A74="","",IF(VLOOKUP($A74,'Teilnehmende - Starters'!$C:$Z,L$11,0)="","",VLOOKUP($A74,'Teilnehmende - Starters'!$C:$Z,L$11,0)))</f>
        <v/>
      </c>
      <c r="M74" s="1" t="str">
        <f>IF($A74="","",IF(VLOOKUP($A74,'Teilnehmende - Starters'!$C:$Z,M$11,0)="","",VLOOKUP($A74,'Teilnehmende - Starters'!$C:$Z,M$11,0)))</f>
        <v/>
      </c>
      <c r="N74" s="17"/>
      <c r="O74" s="1" t="str">
        <f>IF(ISERROR(SMALL('Teilnehmende - Starters'!$D$81:$D$156,ROW(A60))),"",SMALL('Teilnehmende - Starters'!$D$81:$D$156,ROW(A60)))</f>
        <v/>
      </c>
      <c r="P74" s="1" t="str">
        <f>IF($O74="","",IF(VLOOKUP($O74,'Teilnehmende - Starters'!$D:$Z,P$11,0)="","",
IF(RIGHT(VLOOKUP($O74,'Teilnehmende - Starters'!$D:$Z,P$11,0),1)=" ",LEFT(VLOOKUP($O74,'Teilnehmende - Starters'!$D:$Z,P$11,0),LEN(VLOOKUP($O74,'Teilnehmende - Starters'!$D:$Z,P$11,0))-1),
VLOOKUP($O74,'Teilnehmende - Starters'!$D:$Z,P$11,0))))</f>
        <v/>
      </c>
      <c r="Q74" s="1" t="str">
        <f>IF($O74="","",IF(VLOOKUP($O74,'Teilnehmende - Starters'!$D:$Z,Q$11,0)="","",
IF(RIGHT(VLOOKUP($O74,'Teilnehmende - Starters'!$D:$Z,Q$11,0),1)=" ",LEFT(VLOOKUP($O74,'Teilnehmende - Starters'!$D:$Z,Q$11,0),LEN(VLOOKUP($O74,'Teilnehmende - Starters'!$D:$Z,Q$11,0))-1),
VLOOKUP($O74,'Teilnehmende - Starters'!$D:$Z,Q$11,0))))</f>
        <v/>
      </c>
      <c r="R74" s="1" t="str">
        <f t="shared" si="19"/>
        <v/>
      </c>
      <c r="S74" s="1" t="str">
        <f>IF($O74="","",IF(VLOOKUP($O74,'Teilnehmende - Starters'!$D:$Z,S$11,0)="","",VLOOKUP($O74,'Teilnehmende - Starters'!$D:$Z,S$11,0)))</f>
        <v/>
      </c>
      <c r="T74" s="1" t="str">
        <f>IF($O74="","",IF(VLOOKUP($O74,'Teilnehmende - Starters'!$D:$Z,T$11,0)="","",VLOOKUP($O74,'Teilnehmende - Starters'!$D:$Z,T$11,0)))</f>
        <v/>
      </c>
      <c r="U74" s="1" t="str">
        <f>IF($O74="","",IF(VLOOKUP(O74,'Teilnehmende - Starters'!$C:$I,7,0)="w",IF(OR(S74=20,S74=19),"DE","ME"),IF(OR(S74=20,S74=19),"HE","JE")))</f>
        <v/>
      </c>
      <c r="V74" s="1" t="str">
        <f t="shared" si="20"/>
        <v/>
      </c>
      <c r="W74" s="17"/>
      <c r="X74" s="1" t="str">
        <f>IF(ISERROR(SMALL('Teilnehmende - Starters'!$E$81:$E$156,ROW(A60))),"",SMALL('Teilnehmende - Starters'!$E$81:$E$156,ROW(A60)))</f>
        <v/>
      </c>
      <c r="Y74" s="1" t="str">
        <f>IF(X74="","",VLOOKUP(X74,'Teilnehmende - Starters'!$C:$Z,5,0)&amp;" "&amp;VLOOKUP(X74,'Teilnehmende - Starters'!$C:$Z,6,0))</f>
        <v/>
      </c>
      <c r="Z74" s="1" t="str">
        <f t="shared" si="21"/>
        <v/>
      </c>
      <c r="AA74" s="1" t="str">
        <f>IF(X74="","",IF(VLOOKUP(X74,'Teilnehmende - Starters'!$C:$Z,18,0)="Freimeldung",$A$2*100+99,VLOOKUP(Y74,'Teilnehmende - Starters'!$AA$5:$AD$80,4,FALSE)))</f>
        <v/>
      </c>
      <c r="AB74" s="1" t="str">
        <f>IF(AA74="","",IF(VLOOKUP(X74,'Teilnehmende - Starters'!$C:$Z,18,0)="Freimeldung","Freimeldung",VLOOKUP(AA74,$A$15:$E$77,4,0)&amp;" "&amp;VLOOKUP(AA74,$A$15:$E$77,5,0)))</f>
        <v/>
      </c>
      <c r="AC74" s="1" t="str">
        <f>IF(AA74="","",IF(VLOOKUP(X74,'Teilnehmende - Starters'!$C:$Z,18,0)="Freimeldung","",VLOOKUP(AA74,$A$15:$C$77,3,0)))</f>
        <v/>
      </c>
      <c r="AD74" s="1" t="str">
        <f>IF($X74="","",IF(VLOOKUP($X74,'Teilnehmende - Starters'!$C:$Z,AD$11,0)="","",VLOOKUP($X74,'Teilnehmende - Starters'!$C:$Z,AD$11,0)))</f>
        <v/>
      </c>
      <c r="AE74" s="1" t="str">
        <f>IF($X74="","",IF(VLOOKUP($X74,'Teilnehmende - Starters'!$C:$Z,AE$11,0)="","",VLOOKUP($X74,'Teilnehmende - Starters'!$C:$Z,AE$11,0)))</f>
        <v/>
      </c>
      <c r="AF74" s="1" t="str">
        <f>IF($X74="","",IF(VLOOKUP(X74,'Teilnehmende - Starters'!$C:$I,7,0)="w",IF(OR(AD74=20,AD74=19),"DD","MD"),IF(OR(AD74=20,AD74=19),"HD","JD")))</f>
        <v/>
      </c>
      <c r="AG74" s="1" t="str">
        <f t="shared" si="22"/>
        <v/>
      </c>
      <c r="AH74" s="17"/>
      <c r="AI74" s="1" t="str">
        <f>IF(ISERROR(SMALL('Teilnehmende - Starters'!$F$81:$F$156,ROW(#REF!))),"",SMALL('Teilnehmende - Starters'!$F$81:$F$156,ROW(#REF!)))</f>
        <v/>
      </c>
      <c r="AJ74" s="1" t="str">
        <f>IF(AI74="","",VLOOKUP(AI74,'Teilnehmende - Starters'!$C:$Z,5,0)&amp;" "&amp;VLOOKUP(AI74,'Teilnehmende - Starters'!$C:$Z,6,0))</f>
        <v/>
      </c>
      <c r="AK74" s="1" t="str">
        <f t="shared" si="23"/>
        <v/>
      </c>
      <c r="AL74" s="1" t="str">
        <f>IF(AI74="","",IF(VLOOKUP(AI74,'Teilnehmende - Starters'!$C:$AN,21,0)="Freimeldung",$A$2*100+99,VLOOKUP(AJ74,'Teilnehmende - Starters'!$AB$5:$AD$80,3,FALSE)))</f>
        <v/>
      </c>
      <c r="AM74" s="1" t="str">
        <f>IF(AL74="","",IF(VLOOKUP(AI74,'Teilnehmende - Starters'!$C:$Z,21,0)="Freimeldung","Freimeldung",VLOOKUP(AL74,$A$15:$E$77,4,0)&amp;" "&amp;VLOOKUP(AL74,$A$15:$E$77,5,0)))</f>
        <v/>
      </c>
      <c r="AN74" s="1" t="str">
        <f>IF(AL74="","",IF(VLOOKUP(AI74,'Teilnehmende - Starters'!$C:$Z,21,0)="Freimeldung","",VLOOKUP(AL74,$A$15:$C$77,3,0)))</f>
        <v/>
      </c>
      <c r="AO74" s="1" t="str">
        <f>IF($AI74="","",IF(VLOOKUP($AI74,'Teilnehmende - Starters'!$C:$Z,AO$11,0)="","",VLOOKUP($AI74,'Teilnehmende - Starters'!$C:$Z,AO$11,0)))</f>
        <v/>
      </c>
      <c r="AP74" s="1" t="str">
        <f>IF($AI74="","",IF(VLOOKUP($AI74,'Teilnehmende - Starters'!$C:$Z,AP$11,0)="","",VLOOKUP($AI74,'Teilnehmende - Starters'!$C:$Z,AP$11,0)))</f>
        <v/>
      </c>
      <c r="AQ74" s="1" t="str">
        <f t="shared" si="17"/>
        <v/>
      </c>
      <c r="AR74" s="1" t="str">
        <f t="shared" si="24"/>
        <v/>
      </c>
    </row>
    <row r="75" spans="1:44" x14ac:dyDescent="0.3">
      <c r="A75" s="1" t="str">
        <f>IF(ISERROR(SMALL('Teilnehmende - Starters'!$C$81:$C$156,ROW(A61))),"",SMALL('Teilnehmende - Starters'!$C$81:$C$156,ROW(A61)))</f>
        <v/>
      </c>
      <c r="B75" s="1" t="str">
        <f>IF($A75="","",IF(VLOOKUP($A75,'Teilnehmende - Starters'!$C:$Z,B$11,0)="","",SUBSTITUTE(VLOOKUP($A75,'Teilnehmende - Starters'!$C:$Z,B$11,0)," ","")))</f>
        <v/>
      </c>
      <c r="C75" s="1" t="str">
        <f>IF(A75="","",VLOOKUP(INT(A75/100),'Vereine - Clubs'!$C:$H,4,0))</f>
        <v/>
      </c>
      <c r="D75" s="1" t="str">
        <f>IF($A75="","",IF(VLOOKUP($A75,'Teilnehmende - Starters'!$C:$Z,D$11,0)="","",
IF(RIGHT(VLOOKUP($A75,'Teilnehmende - Starters'!$C:$Z,D$11,0),1)=" ",LEFT(VLOOKUP($A75,'Teilnehmende - Starters'!$C:$Z,D$11,0),LEN(VLOOKUP($A75,'Teilnehmende - Starters'!$C:$Z,D$11,0))-1),
VLOOKUP($A75,'Teilnehmende - Starters'!$C:$Z,D$11,0))))</f>
        <v/>
      </c>
      <c r="E75" s="1" t="str">
        <f>IF($A75="","",IF(VLOOKUP($A75,'Teilnehmende - Starters'!$C:$Z,E$11,0)="","",
IF(RIGHT(VLOOKUP($A75,'Teilnehmende - Starters'!$C:$Z,E$11,0),1)=" ",LEFT(VLOOKUP($A75,'Teilnehmende - Starters'!$C:$Z,E$11,0),LEN(VLOOKUP($A75,'Teilnehmende - Starters'!$C:$Z,E$11,0))-1),
VLOOKUP($A75,'Teilnehmende - Starters'!$C:$Z,E$11,0))))</f>
        <v/>
      </c>
      <c r="F75" s="72" t="str">
        <f>IF($A75="","",IF(VLOOKUP($A75,'Teilnehmende - Starters'!$C:$Z,F$11,0)="","",VLOOKUP($A75,'Teilnehmende - Starters'!$C:$Z,F$11,0)))</f>
        <v/>
      </c>
      <c r="G75" s="1" t="str">
        <f>IF($A75="","",IF(VLOOKUP($A75,'Teilnehmende - Starters'!$C:$Z,G$11,0)="","",VLOOKUP($A75,'Teilnehmende - Starters'!$C:$Z,G$11,0)))</f>
        <v/>
      </c>
      <c r="H75" s="1" t="str">
        <f>IF($A75="","",IF(VLOOKUP($A75,'Teilnehmende - Starters'!$C:$Z,H$11,0)="","",VLOOKUP($A75,'Teilnehmende - Starters'!$C:$Z,H$11,0)))</f>
        <v/>
      </c>
      <c r="I75" s="1" t="str">
        <f>IF($A75="","",IF(VLOOKUP($A75,'Teilnehmende - Starters'!$C:$Z,I$11,0)="","",VLOOKUP($A75,'Teilnehmende - Starters'!$C:$Z,I$11,0)))</f>
        <v/>
      </c>
      <c r="J75" s="1" t="str">
        <f>IF($A75="","",IF(VLOOKUP($A75,'Teilnehmende - Starters'!$C:$Z,J$11,0)="","",VLOOKUP($A75,'Teilnehmende - Starters'!$C:$Z,J$11,0)))</f>
        <v/>
      </c>
      <c r="K75" s="1" t="str">
        <f>IF($A75="","",IF(VLOOKUP($A75,'Teilnehmende - Starters'!$C:$Z,K$11,0)="","",VLOOKUP($A75,'Teilnehmende - Starters'!$C:$Z,K$11,0)))</f>
        <v/>
      </c>
      <c r="L75" s="1" t="str">
        <f>IF($A75="","",IF(VLOOKUP($A75,'Teilnehmende - Starters'!$C:$Z,L$11,0)="","",VLOOKUP($A75,'Teilnehmende - Starters'!$C:$Z,L$11,0)))</f>
        <v/>
      </c>
      <c r="M75" s="1" t="str">
        <f>IF($A75="","",IF(VLOOKUP($A75,'Teilnehmende - Starters'!$C:$Z,M$11,0)="","",VLOOKUP($A75,'Teilnehmende - Starters'!$C:$Z,M$11,0)))</f>
        <v/>
      </c>
      <c r="N75" s="17"/>
      <c r="O75" s="1" t="str">
        <f>IF(ISERROR(SMALL('Teilnehmende - Starters'!$D$81:$D$156,ROW(A61))),"",SMALL('Teilnehmende - Starters'!$D$81:$D$156,ROW(A61)))</f>
        <v/>
      </c>
      <c r="P75" s="1" t="str">
        <f>IF($O75="","",IF(VLOOKUP($O75,'Teilnehmende - Starters'!$D:$Z,P$11,0)="","",
IF(RIGHT(VLOOKUP($O75,'Teilnehmende - Starters'!$D:$Z,P$11,0),1)=" ",LEFT(VLOOKUP($O75,'Teilnehmende - Starters'!$D:$Z,P$11,0),LEN(VLOOKUP($O75,'Teilnehmende - Starters'!$D:$Z,P$11,0))-1),
VLOOKUP($O75,'Teilnehmende - Starters'!$D:$Z,P$11,0))))</f>
        <v/>
      </c>
      <c r="Q75" s="1" t="str">
        <f>IF($O75="","",IF(VLOOKUP($O75,'Teilnehmende - Starters'!$D:$Z,Q$11,0)="","",
IF(RIGHT(VLOOKUP($O75,'Teilnehmende - Starters'!$D:$Z,Q$11,0),1)=" ",LEFT(VLOOKUP($O75,'Teilnehmende - Starters'!$D:$Z,Q$11,0),LEN(VLOOKUP($O75,'Teilnehmende - Starters'!$D:$Z,Q$11,0))-1),
VLOOKUP($O75,'Teilnehmende - Starters'!$D:$Z,Q$11,0))))</f>
        <v/>
      </c>
      <c r="R75" s="1" t="str">
        <f t="shared" si="19"/>
        <v/>
      </c>
      <c r="S75" s="1" t="str">
        <f>IF($O75="","",IF(VLOOKUP($O75,'Teilnehmende - Starters'!$D:$Z,S$11,0)="","",VLOOKUP($O75,'Teilnehmende - Starters'!$D:$Z,S$11,0)))</f>
        <v/>
      </c>
      <c r="T75" s="1" t="str">
        <f>IF($O75="","",IF(VLOOKUP($O75,'Teilnehmende - Starters'!$D:$Z,T$11,0)="","",VLOOKUP($O75,'Teilnehmende - Starters'!$D:$Z,T$11,0)))</f>
        <v/>
      </c>
      <c r="U75" s="1" t="str">
        <f>IF($O75="","",IF(VLOOKUP(O75,'Teilnehmende - Starters'!$C:$I,7,0)="w",IF(OR(S75=20,S75=19),"DE","ME"),IF(OR(S75=20,S75=19),"HE","JE")))</f>
        <v/>
      </c>
      <c r="V75" s="1" t="str">
        <f t="shared" si="20"/>
        <v/>
      </c>
      <c r="W75" s="17"/>
      <c r="X75" s="1" t="str">
        <f>IF(ISERROR(SMALL('Teilnehmende - Starters'!$E$81:$E$156,ROW(A61))),"",SMALL('Teilnehmende - Starters'!$E$81:$E$156,ROW(A61)))</f>
        <v/>
      </c>
      <c r="Y75" s="1" t="str">
        <f>IF(X75="","",VLOOKUP(X75,'Teilnehmende - Starters'!$C:$Z,5,0)&amp;" "&amp;VLOOKUP(X75,'Teilnehmende - Starters'!$C:$Z,6,0))</f>
        <v/>
      </c>
      <c r="Z75" s="1" t="str">
        <f t="shared" si="21"/>
        <v/>
      </c>
      <c r="AA75" s="1" t="str">
        <f>IF(X75="","",IF(VLOOKUP(X75,'Teilnehmende - Starters'!$C:$Z,18,0)="Freimeldung",$A$2*100+99,VLOOKUP(Y75,'Teilnehmende - Starters'!$AA$5:$AD$80,4,FALSE)))</f>
        <v/>
      </c>
      <c r="AB75" s="1" t="str">
        <f>IF(AA75="","",IF(VLOOKUP(X75,'Teilnehmende - Starters'!$C:$Z,18,0)="Freimeldung","Freimeldung",VLOOKUP(AA75,$A$15:$E$77,4,0)&amp;" "&amp;VLOOKUP(AA75,$A$15:$E$77,5,0)))</f>
        <v/>
      </c>
      <c r="AC75" s="1" t="str">
        <f>IF(AA75="","",IF(VLOOKUP(X75,'Teilnehmende - Starters'!$C:$Z,18,0)="Freimeldung","",VLOOKUP(AA75,$A$15:$C$77,3,0)))</f>
        <v/>
      </c>
      <c r="AD75" s="1" t="str">
        <f>IF($X75="","",IF(VLOOKUP($X75,'Teilnehmende - Starters'!$C:$Z,AD$11,0)="","",VLOOKUP($X75,'Teilnehmende - Starters'!$C:$Z,AD$11,0)))</f>
        <v/>
      </c>
      <c r="AE75" s="1" t="str">
        <f>IF($X75="","",IF(VLOOKUP($X75,'Teilnehmende - Starters'!$C:$Z,AE$11,0)="","",VLOOKUP($X75,'Teilnehmende - Starters'!$C:$Z,AE$11,0)))</f>
        <v/>
      </c>
      <c r="AF75" s="1" t="str">
        <f>IF($X75="","",IF(VLOOKUP(X75,'Teilnehmende - Starters'!$C:$I,7,0)="w",IF(OR(AD75=20,AD75=19),"DD","MD"),IF(OR(AD75=20,AD75=19),"HD","JD")))</f>
        <v/>
      </c>
      <c r="AG75" s="1" t="str">
        <f t="shared" si="22"/>
        <v/>
      </c>
      <c r="AH75" s="17"/>
      <c r="AI75" s="1" t="str">
        <f>IF(ISERROR(SMALL('Teilnehmende - Starters'!$F$81:$F$156,ROW(#REF!))),"",SMALL('Teilnehmende - Starters'!$F$81:$F$156,ROW(#REF!)))</f>
        <v/>
      </c>
      <c r="AJ75" s="1" t="str">
        <f>IF(AI75="","",VLOOKUP(AI75,'Teilnehmende - Starters'!$C:$Z,5,0)&amp;" "&amp;VLOOKUP(AI75,'Teilnehmende - Starters'!$C:$Z,6,0))</f>
        <v/>
      </c>
      <c r="AK75" s="1" t="str">
        <f t="shared" si="23"/>
        <v/>
      </c>
      <c r="AL75" s="1" t="str">
        <f>IF(AI75="","",IF(VLOOKUP(AI75,'Teilnehmende - Starters'!$C:$AN,21,0)="Freimeldung",$A$2*100+99,VLOOKUP(AJ75,'Teilnehmende - Starters'!$AB$5:$AD$80,3,FALSE)))</f>
        <v/>
      </c>
      <c r="AM75" s="1" t="str">
        <f>IF(AL75="","",IF(VLOOKUP(AI75,'Teilnehmende - Starters'!$C:$Z,21,0)="Freimeldung","Freimeldung",VLOOKUP(AL75,$A$15:$E$77,4,0)&amp;" "&amp;VLOOKUP(AL75,$A$15:$E$77,5,0)))</f>
        <v/>
      </c>
      <c r="AN75" s="1" t="str">
        <f>IF(AL75="","",IF(VLOOKUP(AI75,'Teilnehmende - Starters'!$C:$Z,21,0)="Freimeldung","",VLOOKUP(AL75,$A$15:$C$77,3,0)))</f>
        <v/>
      </c>
      <c r="AO75" s="1" t="str">
        <f>IF($AI75="","",IF(VLOOKUP($AI75,'Teilnehmende - Starters'!$C:$Z,AO$11,0)="","",VLOOKUP($AI75,'Teilnehmende - Starters'!$C:$Z,AO$11,0)))</f>
        <v/>
      </c>
      <c r="AP75" s="1" t="str">
        <f>IF($AI75="","",IF(VLOOKUP($AI75,'Teilnehmende - Starters'!$C:$Z,AP$11,0)="","",VLOOKUP($AI75,'Teilnehmende - Starters'!$C:$Z,AP$11,0)))</f>
        <v/>
      </c>
      <c r="AQ75" s="1" t="str">
        <f t="shared" si="17"/>
        <v/>
      </c>
      <c r="AR75" s="1" t="str">
        <f t="shared" si="24"/>
        <v/>
      </c>
    </row>
    <row r="76" spans="1:44" x14ac:dyDescent="0.3">
      <c r="A76" s="1" t="str">
        <f>IF(ISERROR(SMALL('Teilnehmende - Starters'!$C$81:$C$156,ROW(A62))),"",SMALL('Teilnehmende - Starters'!$C$81:$C$156,ROW(A62)))</f>
        <v/>
      </c>
      <c r="B76" s="1" t="str">
        <f>IF($A76="","",IF(VLOOKUP($A76,'Teilnehmende - Starters'!$C:$Z,B$11,0)="","",SUBSTITUTE(VLOOKUP($A76,'Teilnehmende - Starters'!$C:$Z,B$11,0)," ","")))</f>
        <v/>
      </c>
      <c r="C76" s="1" t="str">
        <f>IF(A76="","",VLOOKUP(INT(A76/100),'Vereine - Clubs'!$C:$H,4,0))</f>
        <v/>
      </c>
      <c r="D76" s="1" t="str">
        <f>IF($A76="","",IF(VLOOKUP($A76,'Teilnehmende - Starters'!$C:$Z,D$11,0)="","",
IF(RIGHT(VLOOKUP($A76,'Teilnehmende - Starters'!$C:$Z,D$11,0),1)=" ",LEFT(VLOOKUP($A76,'Teilnehmende - Starters'!$C:$Z,D$11,0),LEN(VLOOKUP($A76,'Teilnehmende - Starters'!$C:$Z,D$11,0))-1),
VLOOKUP($A76,'Teilnehmende - Starters'!$C:$Z,D$11,0))))</f>
        <v/>
      </c>
      <c r="E76" s="1" t="str">
        <f>IF($A76="","",IF(VLOOKUP($A76,'Teilnehmende - Starters'!$C:$Z,E$11,0)="","",
IF(RIGHT(VLOOKUP($A76,'Teilnehmende - Starters'!$C:$Z,E$11,0),1)=" ",LEFT(VLOOKUP($A76,'Teilnehmende - Starters'!$C:$Z,E$11,0),LEN(VLOOKUP($A76,'Teilnehmende - Starters'!$C:$Z,E$11,0))-1),
VLOOKUP($A76,'Teilnehmende - Starters'!$C:$Z,E$11,0))))</f>
        <v/>
      </c>
      <c r="F76" s="72" t="str">
        <f>IF($A76="","",IF(VLOOKUP($A76,'Teilnehmende - Starters'!$C:$Z,F$11,0)="","",VLOOKUP($A76,'Teilnehmende - Starters'!$C:$Z,F$11,0)))</f>
        <v/>
      </c>
      <c r="G76" s="1" t="str">
        <f>IF($A76="","",IF(VLOOKUP($A76,'Teilnehmende - Starters'!$C:$Z,G$11,0)="","",VLOOKUP($A76,'Teilnehmende - Starters'!$C:$Z,G$11,0)))</f>
        <v/>
      </c>
      <c r="H76" s="1" t="str">
        <f>IF($A76="","",IF(VLOOKUP($A76,'Teilnehmende - Starters'!$C:$Z,H$11,0)="","",VLOOKUP($A76,'Teilnehmende - Starters'!$C:$Z,H$11,0)))</f>
        <v/>
      </c>
      <c r="I76" s="1" t="str">
        <f>IF($A76="","",IF(VLOOKUP($A76,'Teilnehmende - Starters'!$C:$Z,I$11,0)="","",VLOOKUP($A76,'Teilnehmende - Starters'!$C:$Z,I$11,0)))</f>
        <v/>
      </c>
      <c r="J76" s="1" t="str">
        <f>IF($A76="","",IF(VLOOKUP($A76,'Teilnehmende - Starters'!$C:$Z,J$11,0)="","",VLOOKUP($A76,'Teilnehmende - Starters'!$C:$Z,J$11,0)))</f>
        <v/>
      </c>
      <c r="K76" s="1" t="str">
        <f>IF($A76="","",IF(VLOOKUP($A76,'Teilnehmende - Starters'!$C:$Z,K$11,0)="","",VLOOKUP($A76,'Teilnehmende - Starters'!$C:$Z,K$11,0)))</f>
        <v/>
      </c>
      <c r="L76" s="1" t="str">
        <f>IF($A76="","",IF(VLOOKUP($A76,'Teilnehmende - Starters'!$C:$Z,L$11,0)="","",VLOOKUP($A76,'Teilnehmende - Starters'!$C:$Z,L$11,0)))</f>
        <v/>
      </c>
      <c r="M76" s="1" t="str">
        <f>IF($A76="","",IF(VLOOKUP($A76,'Teilnehmende - Starters'!$C:$Z,M$11,0)="","",VLOOKUP($A76,'Teilnehmende - Starters'!$C:$Z,M$11,0)))</f>
        <v/>
      </c>
      <c r="N76" s="17"/>
      <c r="O76" s="1" t="str">
        <f>IF(ISERROR(SMALL('Teilnehmende - Starters'!$D$81:$D$156,ROW(A62))),"",SMALL('Teilnehmende - Starters'!$D$81:$D$156,ROW(A62)))</f>
        <v/>
      </c>
      <c r="P76" s="1" t="str">
        <f>IF($O76="","",IF(VLOOKUP($O76,'Teilnehmende - Starters'!$D:$Z,P$11,0)="","",
IF(RIGHT(VLOOKUP($O76,'Teilnehmende - Starters'!$D:$Z,P$11,0),1)=" ",LEFT(VLOOKUP($O76,'Teilnehmende - Starters'!$D:$Z,P$11,0),LEN(VLOOKUP($O76,'Teilnehmende - Starters'!$D:$Z,P$11,0))-1),
VLOOKUP($O76,'Teilnehmende - Starters'!$D:$Z,P$11,0))))</f>
        <v/>
      </c>
      <c r="Q76" s="1" t="str">
        <f>IF($O76="","",IF(VLOOKUP($O76,'Teilnehmende - Starters'!$D:$Z,Q$11,0)="","",
IF(RIGHT(VLOOKUP($O76,'Teilnehmende - Starters'!$D:$Z,Q$11,0),1)=" ",LEFT(VLOOKUP($O76,'Teilnehmende - Starters'!$D:$Z,Q$11,0),LEN(VLOOKUP($O76,'Teilnehmende - Starters'!$D:$Z,Q$11,0))-1),
VLOOKUP($O76,'Teilnehmende - Starters'!$D:$Z,Q$11,0))))</f>
        <v/>
      </c>
      <c r="R76" s="1" t="str">
        <f t="shared" si="19"/>
        <v/>
      </c>
      <c r="S76" s="1" t="str">
        <f>IF($O76="","",IF(VLOOKUP($O76,'Teilnehmende - Starters'!$D:$Z,S$11,0)="","",VLOOKUP($O76,'Teilnehmende - Starters'!$D:$Z,S$11,0)))</f>
        <v/>
      </c>
      <c r="T76" s="1" t="str">
        <f>IF($O76="","",IF(VLOOKUP($O76,'Teilnehmende - Starters'!$D:$Z,T$11,0)="","",VLOOKUP($O76,'Teilnehmende - Starters'!$D:$Z,T$11,0)))</f>
        <v/>
      </c>
      <c r="U76" s="1" t="str">
        <f>IF($O76="","",IF(VLOOKUP(O76,'Teilnehmende - Starters'!$C:$I,7,0)="w",IF(OR(S76=20,S76=19),"DE","ME"),IF(OR(S76=20,S76=19),"HE","JE")))</f>
        <v/>
      </c>
      <c r="V76" s="1" t="str">
        <f t="shared" si="20"/>
        <v/>
      </c>
      <c r="W76" s="17"/>
      <c r="X76" s="1" t="str">
        <f>IF(ISERROR(SMALL('Teilnehmende - Starters'!$E$81:$E$156,ROW(A62))),"",SMALL('Teilnehmende - Starters'!$E$81:$E$156,ROW(A62)))</f>
        <v/>
      </c>
      <c r="Y76" s="1" t="str">
        <f>IF(X76="","",VLOOKUP(X76,'Teilnehmende - Starters'!$C:$Z,5,0)&amp;" "&amp;VLOOKUP(X76,'Teilnehmende - Starters'!$C:$Z,6,0))</f>
        <v/>
      </c>
      <c r="Z76" s="1" t="str">
        <f t="shared" si="21"/>
        <v/>
      </c>
      <c r="AA76" s="1" t="str">
        <f>IF(X76="","",IF(VLOOKUP(X76,'Teilnehmende - Starters'!$C:$Z,18,0)="Freimeldung",$A$2*100+99,VLOOKUP(Y76,'Teilnehmende - Starters'!$AA$5:$AD$80,4,FALSE)))</f>
        <v/>
      </c>
      <c r="AB76" s="1" t="str">
        <f>IF(AA76="","",IF(VLOOKUP(X76,'Teilnehmende - Starters'!$C:$Z,18,0)="Freimeldung","Freimeldung",VLOOKUP(AA76,$A$15:$E$77,4,0)&amp;" "&amp;VLOOKUP(AA76,$A$15:$E$77,5,0)))</f>
        <v/>
      </c>
      <c r="AC76" s="1" t="str">
        <f>IF(AA76="","",IF(VLOOKUP(X76,'Teilnehmende - Starters'!$C:$Z,18,0)="Freimeldung","",VLOOKUP(AA76,$A$15:$C$77,3,0)))</f>
        <v/>
      </c>
      <c r="AD76" s="1" t="str">
        <f>IF($X76="","",IF(VLOOKUP($X76,'Teilnehmende - Starters'!$C:$Z,AD$11,0)="","",VLOOKUP($X76,'Teilnehmende - Starters'!$C:$Z,AD$11,0)))</f>
        <v/>
      </c>
      <c r="AE76" s="1" t="str">
        <f>IF($X76="","",IF(VLOOKUP($X76,'Teilnehmende - Starters'!$C:$Z,AE$11,0)="","",VLOOKUP($X76,'Teilnehmende - Starters'!$C:$Z,AE$11,0)))</f>
        <v/>
      </c>
      <c r="AF76" s="1" t="str">
        <f>IF($X76="","",IF(VLOOKUP(X76,'Teilnehmende - Starters'!$C:$I,7,0)="w",IF(OR(AD76=20,AD76=19),"DD","MD"),IF(OR(AD76=20,AD76=19),"HD","JD")))</f>
        <v/>
      </c>
      <c r="AG76" s="1" t="str">
        <f t="shared" si="22"/>
        <v/>
      </c>
      <c r="AH76" s="17"/>
      <c r="AI76" s="1" t="str">
        <f>IF(ISERROR(SMALL('Teilnehmende - Starters'!$F$81:$F$156,ROW(#REF!))),"",SMALL('Teilnehmende - Starters'!$F$81:$F$156,ROW(#REF!)))</f>
        <v/>
      </c>
      <c r="AJ76" s="1" t="str">
        <f>IF(AI76="","",VLOOKUP(AI76,'Teilnehmende - Starters'!$C:$Z,5,0)&amp;" "&amp;VLOOKUP(AI76,'Teilnehmende - Starters'!$C:$Z,6,0))</f>
        <v/>
      </c>
      <c r="AK76" s="1" t="str">
        <f t="shared" si="23"/>
        <v/>
      </c>
      <c r="AL76" s="1" t="str">
        <f>IF(AI76="","",IF(VLOOKUP(AI76,'Teilnehmende - Starters'!$C:$AN,21,0)="Freimeldung",$A$2*100+99,VLOOKUP(AJ76,'Teilnehmende - Starters'!$AB$5:$AD$80,3,FALSE)))</f>
        <v/>
      </c>
      <c r="AM76" s="1" t="str">
        <f>IF(AL76="","",IF(VLOOKUP(AI76,'Teilnehmende - Starters'!$C:$Z,21,0)="Freimeldung","Freimeldung",VLOOKUP(AL76,$A$15:$E$77,4,0)&amp;" "&amp;VLOOKUP(AL76,$A$15:$E$77,5,0)))</f>
        <v/>
      </c>
      <c r="AN76" s="1" t="str">
        <f>IF(AL76="","",IF(VLOOKUP(AI76,'Teilnehmende - Starters'!$C:$Z,21,0)="Freimeldung","",VLOOKUP(AL76,$A$15:$C$77,3,0)))</f>
        <v/>
      </c>
      <c r="AO76" s="1" t="str">
        <f>IF($AI76="","",IF(VLOOKUP($AI76,'Teilnehmende - Starters'!$C:$Z,AO$11,0)="","",VLOOKUP($AI76,'Teilnehmende - Starters'!$C:$Z,AO$11,0)))</f>
        <v/>
      </c>
      <c r="AP76" s="1" t="str">
        <f>IF($AI76="","",IF(VLOOKUP($AI76,'Teilnehmende - Starters'!$C:$Z,AP$11,0)="","",VLOOKUP($AI76,'Teilnehmende - Starters'!$C:$Z,AP$11,0)))</f>
        <v/>
      </c>
      <c r="AQ76" s="1" t="str">
        <f t="shared" si="17"/>
        <v/>
      </c>
      <c r="AR76" s="1" t="str">
        <f t="shared" si="24"/>
        <v/>
      </c>
    </row>
    <row r="77" spans="1:44" x14ac:dyDescent="0.3">
      <c r="A77" s="1" t="str">
        <f>IF(ISERROR(SMALL('Teilnehmende - Starters'!$C$81:$C$156,ROW(A63))),"",SMALL('Teilnehmende - Starters'!$C$81:$C$156,ROW(A63)))</f>
        <v/>
      </c>
      <c r="B77" s="1" t="str">
        <f>IF($A77="","",IF(VLOOKUP($A77,'Teilnehmende - Starters'!$C:$Z,B$11,0)="","",SUBSTITUTE(VLOOKUP($A77,'Teilnehmende - Starters'!$C:$Z,B$11,0)," ","")))</f>
        <v/>
      </c>
      <c r="C77" s="1" t="str">
        <f>IF(A77="","",VLOOKUP(INT(A77/100),'Vereine - Clubs'!$C:$H,4,0))</f>
        <v/>
      </c>
      <c r="D77" s="1" t="str">
        <f>IF($A77="","",IF(VLOOKUP($A77,'Teilnehmende - Starters'!$C:$Z,D$11,0)="","",
IF(RIGHT(VLOOKUP($A77,'Teilnehmende - Starters'!$C:$Z,D$11,0),1)=" ",LEFT(VLOOKUP($A77,'Teilnehmende - Starters'!$C:$Z,D$11,0),LEN(VLOOKUP($A77,'Teilnehmende - Starters'!$C:$Z,D$11,0))-1),
VLOOKUP($A77,'Teilnehmende - Starters'!$C:$Z,D$11,0))))</f>
        <v/>
      </c>
      <c r="E77" s="1" t="str">
        <f>IF($A77="","",IF(VLOOKUP($A77,'Teilnehmende - Starters'!$C:$Z,E$11,0)="","",
IF(RIGHT(VLOOKUP($A77,'Teilnehmende - Starters'!$C:$Z,E$11,0),1)=" ",LEFT(VLOOKUP($A77,'Teilnehmende - Starters'!$C:$Z,E$11,0),LEN(VLOOKUP($A77,'Teilnehmende - Starters'!$C:$Z,E$11,0))-1),
VLOOKUP($A77,'Teilnehmende - Starters'!$C:$Z,E$11,0))))</f>
        <v/>
      </c>
      <c r="F77" s="72" t="str">
        <f>IF($A77="","",IF(VLOOKUP($A77,'Teilnehmende - Starters'!$C:$Z,F$11,0)="","",VLOOKUP($A77,'Teilnehmende - Starters'!$C:$Z,F$11,0)))</f>
        <v/>
      </c>
      <c r="G77" s="1" t="str">
        <f>IF($A77="","",IF(VLOOKUP($A77,'Teilnehmende - Starters'!$C:$Z,G$11,0)="","",VLOOKUP($A77,'Teilnehmende - Starters'!$C:$Z,G$11,0)))</f>
        <v/>
      </c>
      <c r="H77" s="1" t="str">
        <f>IF($A77="","",IF(VLOOKUP($A77,'Teilnehmende - Starters'!$C:$Z,H$11,0)="","",VLOOKUP($A77,'Teilnehmende - Starters'!$C:$Z,H$11,0)))</f>
        <v/>
      </c>
      <c r="I77" s="1" t="str">
        <f>IF($A77="","",IF(VLOOKUP($A77,'Teilnehmende - Starters'!$C:$Z,I$11,0)="","",VLOOKUP($A77,'Teilnehmende - Starters'!$C:$Z,I$11,0)))</f>
        <v/>
      </c>
      <c r="J77" s="1" t="str">
        <f>IF($A77="","",IF(VLOOKUP($A77,'Teilnehmende - Starters'!$C:$Z,J$11,0)="","",VLOOKUP($A77,'Teilnehmende - Starters'!$C:$Z,J$11,0)))</f>
        <v/>
      </c>
      <c r="K77" s="1" t="str">
        <f>IF($A77="","",IF(VLOOKUP($A77,'Teilnehmende - Starters'!$C:$Z,K$11,0)="","",VLOOKUP($A77,'Teilnehmende - Starters'!$C:$Z,K$11,0)))</f>
        <v/>
      </c>
      <c r="L77" s="1" t="str">
        <f>IF($A77="","",IF(VLOOKUP($A77,'Teilnehmende - Starters'!$C:$Z,L$11,0)="","",VLOOKUP($A77,'Teilnehmende - Starters'!$C:$Z,L$11,0)))</f>
        <v/>
      </c>
      <c r="M77" s="1" t="str">
        <f>IF($A77="","",IF(VLOOKUP($A77,'Teilnehmende - Starters'!$C:$Z,M$11,0)="","",VLOOKUP($A77,'Teilnehmende - Starters'!$C:$Z,M$11,0)))</f>
        <v/>
      </c>
      <c r="N77" s="17"/>
      <c r="O77" s="1" t="str">
        <f>IF(ISERROR(SMALL('Teilnehmende - Starters'!$D$81:$D$156,ROW(A63))),"",SMALL('Teilnehmende - Starters'!$D$81:$D$156,ROW(A63)))</f>
        <v/>
      </c>
      <c r="P77" s="1" t="str">
        <f>IF($O77="","",IF(VLOOKUP($O77,'Teilnehmende - Starters'!$D:$Z,P$11,0)="","",
IF(RIGHT(VLOOKUP($O77,'Teilnehmende - Starters'!$D:$Z,P$11,0),1)=" ",LEFT(VLOOKUP($O77,'Teilnehmende - Starters'!$D:$Z,P$11,0),LEN(VLOOKUP($O77,'Teilnehmende - Starters'!$D:$Z,P$11,0))-1),
VLOOKUP($O77,'Teilnehmende - Starters'!$D:$Z,P$11,0))))</f>
        <v/>
      </c>
      <c r="Q77" s="1" t="str">
        <f>IF($O77="","",IF(VLOOKUP($O77,'Teilnehmende - Starters'!$D:$Z,Q$11,0)="","",
IF(RIGHT(VLOOKUP($O77,'Teilnehmende - Starters'!$D:$Z,Q$11,0),1)=" ",LEFT(VLOOKUP($O77,'Teilnehmende - Starters'!$D:$Z,Q$11,0),LEN(VLOOKUP($O77,'Teilnehmende - Starters'!$D:$Z,Q$11,0))-1),
VLOOKUP($O77,'Teilnehmende - Starters'!$D:$Z,Q$11,0))))</f>
        <v/>
      </c>
      <c r="R77" s="1" t="str">
        <f t="shared" si="19"/>
        <v/>
      </c>
      <c r="S77" s="1" t="str">
        <f>IF($O77="","",IF(VLOOKUP($O77,'Teilnehmende - Starters'!$D:$Z,S$11,0)="","",VLOOKUP($O77,'Teilnehmende - Starters'!$D:$Z,S$11,0)))</f>
        <v/>
      </c>
      <c r="T77" s="1" t="str">
        <f>IF($O77="","",IF(VLOOKUP($O77,'Teilnehmende - Starters'!$D:$Z,T$11,0)="","",VLOOKUP($O77,'Teilnehmende - Starters'!$D:$Z,T$11,0)))</f>
        <v/>
      </c>
      <c r="U77" s="1" t="str">
        <f>IF($O77="","",IF(VLOOKUP(O77,'Teilnehmende - Starters'!$C:$I,7,0)="w",IF(OR(S77=20,S77=19),"DE","ME"),IF(OR(S77=20,S77=19),"HE","JE")))</f>
        <v/>
      </c>
      <c r="V77" s="1" t="str">
        <f t="shared" si="20"/>
        <v/>
      </c>
      <c r="W77" s="17"/>
      <c r="X77" s="1" t="str">
        <f>IF(ISERROR(SMALL('Teilnehmende - Starters'!$E$81:$E$156,ROW(A63))),"",SMALL('Teilnehmende - Starters'!$E$81:$E$156,ROW(A63)))</f>
        <v/>
      </c>
      <c r="Y77" s="1" t="str">
        <f>IF(X77="","",VLOOKUP(X77,'Teilnehmende - Starters'!$C:$Z,5,0)&amp;" "&amp;VLOOKUP(X77,'Teilnehmende - Starters'!$C:$Z,6,0))</f>
        <v/>
      </c>
      <c r="Z77" s="1" t="str">
        <f t="shared" si="21"/>
        <v/>
      </c>
      <c r="AA77" s="1" t="str">
        <f>IF(X77="","",IF(VLOOKUP(X77,'Teilnehmende - Starters'!$C:$Z,18,0)="Freimeldung",$A$2*100+99,VLOOKUP(Y77,'Teilnehmende - Starters'!$AA$5:$AD$80,4,FALSE)))</f>
        <v/>
      </c>
      <c r="AB77" s="1" t="str">
        <f>IF(AA77="","",IF(VLOOKUP(X77,'Teilnehmende - Starters'!$C:$Z,18,0)="Freimeldung","Freimeldung",VLOOKUP(AA77,$A$15:$E$77,4,0)&amp;" "&amp;VLOOKUP(AA77,$A$15:$E$77,5,0)))</f>
        <v/>
      </c>
      <c r="AC77" s="1" t="str">
        <f>IF(AA77="","",IF(VLOOKUP(X77,'Teilnehmende - Starters'!$C:$Z,18,0)="Freimeldung","",VLOOKUP(AA77,$A$15:$C$77,3,0)))</f>
        <v/>
      </c>
      <c r="AD77" s="1" t="str">
        <f>IF($X77="","",IF(VLOOKUP($X77,'Teilnehmende - Starters'!$C:$Z,AD$11,0)="","",VLOOKUP($X77,'Teilnehmende - Starters'!$C:$Z,AD$11,0)))</f>
        <v/>
      </c>
      <c r="AE77" s="1" t="str">
        <f>IF($X77="","",IF(VLOOKUP($X77,'Teilnehmende - Starters'!$C:$Z,AE$11,0)="","",VLOOKUP($X77,'Teilnehmende - Starters'!$C:$Z,AE$11,0)))</f>
        <v/>
      </c>
      <c r="AF77" s="1" t="str">
        <f>IF($X77="","",IF(VLOOKUP(X77,'Teilnehmende - Starters'!$C:$I,7,0)="w",IF(OR(AD77=20,AD77=19),"DD","MD"),IF(OR(AD77=20,AD77=19),"HD","JD")))</f>
        <v/>
      </c>
      <c r="AG77" s="1" t="str">
        <f t="shared" si="22"/>
        <v/>
      </c>
      <c r="AH77" s="17"/>
      <c r="AI77" s="1" t="str">
        <f>IF(ISERROR(SMALL('Teilnehmende - Starters'!$F$81:$F$156,ROW(#REF!))),"",SMALL('Teilnehmende - Starters'!$F$81:$F$156,ROW(#REF!)))</f>
        <v/>
      </c>
      <c r="AJ77" s="1" t="str">
        <f>IF(AI77="","",VLOOKUP(AI77,'Teilnehmende - Starters'!$C:$Z,5,0)&amp;" "&amp;VLOOKUP(AI77,'Teilnehmende - Starters'!$C:$Z,6,0))</f>
        <v/>
      </c>
      <c r="AK77" s="1" t="str">
        <f t="shared" si="23"/>
        <v/>
      </c>
      <c r="AL77" s="1" t="str">
        <f>IF(AI77="","",IF(VLOOKUP(AI77,'Teilnehmende - Starters'!$C:$AN,21,0)="Freimeldung",$A$2*100+99,VLOOKUP(AJ77,'Teilnehmende - Starters'!$AB$5:$AD$80,3,FALSE)))</f>
        <v/>
      </c>
      <c r="AM77" s="1" t="str">
        <f>IF(AL77="","",IF(VLOOKUP(AI77,'Teilnehmende - Starters'!$C:$Z,21,0)="Freimeldung","Freimeldung",VLOOKUP(AL77,$A$15:$E$77,4,0)&amp;" "&amp;VLOOKUP(AL77,$A$15:$E$77,5,0)))</f>
        <v/>
      </c>
      <c r="AN77" s="1" t="str">
        <f>IF(AL77="","",IF(VLOOKUP(AI77,'Teilnehmende - Starters'!$C:$Z,21,0)="Freimeldung","",VLOOKUP(AL77,$A$15:$C$77,3,0)))</f>
        <v/>
      </c>
      <c r="AO77" s="1" t="str">
        <f>IF($AI77="","",IF(VLOOKUP($AI77,'Teilnehmende - Starters'!$C:$Z,AO$11,0)="","",VLOOKUP($AI77,'Teilnehmende - Starters'!$C:$Z,AO$11,0)))</f>
        <v/>
      </c>
      <c r="AP77" s="1" t="str">
        <f>IF($AI77="","",IF(VLOOKUP($AI77,'Teilnehmende - Starters'!$C:$Z,AP$11,0)="","",VLOOKUP($AI77,'Teilnehmende - Starters'!$C:$Z,AP$11,0)))</f>
        <v/>
      </c>
      <c r="AQ77" s="1" t="str">
        <f t="shared" si="17"/>
        <v/>
      </c>
      <c r="AR77" s="1" t="str">
        <f t="shared" si="24"/>
        <v/>
      </c>
    </row>
  </sheetData>
  <mergeCells count="3">
    <mergeCell ref="O12:V12"/>
    <mergeCell ref="X12:AG12"/>
    <mergeCell ref="AI12:AR12"/>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3</vt:i4>
      </vt:variant>
    </vt:vector>
  </HeadingPairs>
  <TitlesOfParts>
    <vt:vector size="8" baseType="lpstr">
      <vt:lpstr>Info</vt:lpstr>
      <vt:lpstr>Vereine - Clubs</vt:lpstr>
      <vt:lpstr>Teilnehmende - Starters</vt:lpstr>
      <vt:lpstr>Drum herum - around</vt:lpstr>
      <vt:lpstr>Intern Neu</vt:lpstr>
      <vt:lpstr>Info!Druckbereich</vt:lpstr>
      <vt:lpstr>Englisch</vt:lpstr>
      <vt:lpstr>Vereine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Clausen</dc:creator>
  <cp:lastModifiedBy>Jesper Clausen</cp:lastModifiedBy>
  <cp:lastPrinted>2017-10-21T18:23:00Z</cp:lastPrinted>
  <dcterms:created xsi:type="dcterms:W3CDTF">2017-09-17T10:05:51Z</dcterms:created>
  <dcterms:modified xsi:type="dcterms:W3CDTF">2026-03-08T10:24:29Z</dcterms:modified>
</cp:coreProperties>
</file>